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 yWindow="-12" windowWidth="7776" windowHeight="9036" tabRatio="597"/>
  </bookViews>
  <sheets>
    <sheet name="дод 3" sheetId="4" r:id="rId1"/>
  </sheets>
  <definedNames>
    <definedName name="_xlnm._FilterDatabase" localSheetId="0" hidden="1">'дод 3'!$F$1:$S$180</definedName>
    <definedName name="_xlnm.Print_Titles" localSheetId="0">'дод 3'!$6:$10</definedName>
    <definedName name="_xlnm.Print_Area" localSheetId="0">'дод 3'!$A$1:$S$180</definedName>
  </definedNames>
  <calcPr calcId="124519"/>
</workbook>
</file>

<file path=xl/calcChain.xml><?xml version="1.0" encoding="utf-8"?>
<calcChain xmlns="http://schemas.openxmlformats.org/spreadsheetml/2006/main">
  <c r="P22" i="4"/>
  <c r="L22" s="1"/>
  <c r="H172"/>
  <c r="H133"/>
  <c r="G133" s="1"/>
  <c r="S133" s="1"/>
  <c r="H151"/>
  <c r="H42"/>
  <c r="J132"/>
  <c r="I109"/>
  <c r="H109"/>
  <c r="I55"/>
  <c r="H55"/>
  <c r="G55" s="1"/>
  <c r="S55" s="1"/>
  <c r="H136"/>
  <c r="H15"/>
  <c r="R165"/>
  <c r="R160"/>
  <c r="R56"/>
  <c r="Q56"/>
  <c r="P56"/>
  <c r="P52" s="1"/>
  <c r="P51" s="1"/>
  <c r="P143"/>
  <c r="P165"/>
  <c r="L165"/>
  <c r="P160"/>
  <c r="L160" s="1"/>
  <c r="P157"/>
  <c r="P152"/>
  <c r="Q137"/>
  <c r="P137"/>
  <c r="P132"/>
  <c r="L132"/>
  <c r="Q15"/>
  <c r="P15"/>
  <c r="P166"/>
  <c r="P161"/>
  <c r="H56"/>
  <c r="G56" s="1"/>
  <c r="H88"/>
  <c r="H132"/>
  <c r="G132" s="1"/>
  <c r="H49"/>
  <c r="H50"/>
  <c r="H38"/>
  <c r="G38" s="1"/>
  <c r="S38" s="1"/>
  <c r="H146"/>
  <c r="H22"/>
  <c r="H25"/>
  <c r="G25" s="1"/>
  <c r="S25" s="1"/>
  <c r="H137"/>
  <c r="G137" s="1"/>
  <c r="H171"/>
  <c r="H68"/>
  <c r="G68" s="1"/>
  <c r="S68" s="1"/>
  <c r="H129"/>
  <c r="H13"/>
  <c r="H119"/>
  <c r="G119" s="1"/>
  <c r="S119" s="1"/>
  <c r="H53"/>
  <c r="G53" s="1"/>
  <c r="S53" s="1"/>
  <c r="H144"/>
  <c r="G146"/>
  <c r="S146" s="1"/>
  <c r="H20"/>
  <c r="G176"/>
  <c r="H131"/>
  <c r="H130"/>
  <c r="G130" s="1"/>
  <c r="S130" s="1"/>
  <c r="H28"/>
  <c r="G28" s="1"/>
  <c r="S28" s="1"/>
  <c r="L174"/>
  <c r="G174"/>
  <c r="G15"/>
  <c r="H29"/>
  <c r="K145"/>
  <c r="H104"/>
  <c r="G104" s="1"/>
  <c r="S104" s="1"/>
  <c r="H121"/>
  <c r="G121" s="1"/>
  <c r="I119"/>
  <c r="I125"/>
  <c r="H125"/>
  <c r="I124"/>
  <c r="H124"/>
  <c r="I122"/>
  <c r="H122"/>
  <c r="I121"/>
  <c r="I68"/>
  <c r="I172"/>
  <c r="I13"/>
  <c r="I61"/>
  <c r="H61"/>
  <c r="I56"/>
  <c r="J146"/>
  <c r="H106"/>
  <c r="G106" s="1"/>
  <c r="S106" s="1"/>
  <c r="G88"/>
  <c r="S88" s="1"/>
  <c r="H40"/>
  <c r="H63"/>
  <c r="G22"/>
  <c r="S148"/>
  <c r="S150"/>
  <c r="L147"/>
  <c r="L148"/>
  <c r="L149"/>
  <c r="L150"/>
  <c r="L151"/>
  <c r="G147"/>
  <c r="S147" s="1"/>
  <c r="G148"/>
  <c r="G149"/>
  <c r="S149" s="1"/>
  <c r="G150"/>
  <c r="G151"/>
  <c r="S151" s="1"/>
  <c r="P65"/>
  <c r="P45"/>
  <c r="R134"/>
  <c r="Q134"/>
  <c r="P134"/>
  <c r="L134" s="1"/>
  <c r="R162"/>
  <c r="P162"/>
  <c r="Q162"/>
  <c r="P47"/>
  <c r="Q47"/>
  <c r="R47" s="1"/>
  <c r="P158"/>
  <c r="P13"/>
  <c r="Q13"/>
  <c r="P64"/>
  <c r="R64"/>
  <c r="N128"/>
  <c r="O128"/>
  <c r="O127"/>
  <c r="G134"/>
  <c r="I136"/>
  <c r="K136"/>
  <c r="K135" s="1"/>
  <c r="H138"/>
  <c r="H17"/>
  <c r="G13"/>
  <c r="S176"/>
  <c r="H14"/>
  <c r="G14" s="1"/>
  <c r="S14" s="1"/>
  <c r="H175"/>
  <c r="G175" s="1"/>
  <c r="S175" s="1"/>
  <c r="P57"/>
  <c r="Q57"/>
  <c r="R57" s="1"/>
  <c r="P146"/>
  <c r="Q146" s="1"/>
  <c r="Q161"/>
  <c r="R161"/>
  <c r="L161"/>
  <c r="G161"/>
  <c r="S161" s="1"/>
  <c r="H123"/>
  <c r="P123"/>
  <c r="L123" s="1"/>
  <c r="P25"/>
  <c r="H23"/>
  <c r="G23" s="1"/>
  <c r="S23" s="1"/>
  <c r="Q166"/>
  <c r="R166" s="1"/>
  <c r="Q160"/>
  <c r="Q144"/>
  <c r="R144"/>
  <c r="P144"/>
  <c r="H165"/>
  <c r="G165" s="1"/>
  <c r="Q165"/>
  <c r="P55"/>
  <c r="M55"/>
  <c r="P122"/>
  <c r="H167"/>
  <c r="G167" s="1"/>
  <c r="S167" s="1"/>
  <c r="H54"/>
  <c r="H105"/>
  <c r="H107"/>
  <c r="P128"/>
  <c r="P127" s="1"/>
  <c r="L176"/>
  <c r="L175"/>
  <c r="L173"/>
  <c r="G173"/>
  <c r="S173" s="1"/>
  <c r="L172"/>
  <c r="L171" s="1"/>
  <c r="L170" s="1"/>
  <c r="I171"/>
  <c r="I170" s="1"/>
  <c r="R171"/>
  <c r="R170"/>
  <c r="Q171"/>
  <c r="Q170"/>
  <c r="P171"/>
  <c r="P170"/>
  <c r="O171"/>
  <c r="N171"/>
  <c r="N170" s="1"/>
  <c r="M171"/>
  <c r="M170" s="1"/>
  <c r="K171"/>
  <c r="J171"/>
  <c r="J170"/>
  <c r="E171"/>
  <c r="C171"/>
  <c r="O170"/>
  <c r="K170"/>
  <c r="P169"/>
  <c r="Q169"/>
  <c r="R169" s="1"/>
  <c r="M169"/>
  <c r="L169" s="1"/>
  <c r="S169" s="1"/>
  <c r="G169"/>
  <c r="L168"/>
  <c r="G168"/>
  <c r="S168" s="1"/>
  <c r="L167"/>
  <c r="G166"/>
  <c r="P164"/>
  <c r="Q164" s="1"/>
  <c r="R164" s="1"/>
  <c r="H164"/>
  <c r="G164"/>
  <c r="Q163"/>
  <c r="R163" s="1"/>
  <c r="L163"/>
  <c r="G163"/>
  <c r="L162"/>
  <c r="S162"/>
  <c r="G162"/>
  <c r="G160"/>
  <c r="Q159"/>
  <c r="R159"/>
  <c r="L159"/>
  <c r="G159"/>
  <c r="S159" s="1"/>
  <c r="G158"/>
  <c r="Q157"/>
  <c r="R157" s="1"/>
  <c r="G157"/>
  <c r="L156"/>
  <c r="G156"/>
  <c r="L155"/>
  <c r="G155"/>
  <c r="L154"/>
  <c r="G154"/>
  <c r="F154"/>
  <c r="L153"/>
  <c r="G153"/>
  <c r="S153" s="1"/>
  <c r="Q152"/>
  <c r="R152" s="1"/>
  <c r="L152"/>
  <c r="S152" s="1"/>
  <c r="G152"/>
  <c r="L146"/>
  <c r="J136"/>
  <c r="J135" s="1"/>
  <c r="L145"/>
  <c r="G145"/>
  <c r="S145" s="1"/>
  <c r="L144"/>
  <c r="G144"/>
  <c r="S144" s="1"/>
  <c r="Q143"/>
  <c r="R143" s="1"/>
  <c r="L143"/>
  <c r="G143"/>
  <c r="L142"/>
  <c r="G142"/>
  <c r="S142" s="1"/>
  <c r="L141"/>
  <c r="G141"/>
  <c r="S141"/>
  <c r="L140"/>
  <c r="G140"/>
  <c r="S140" s="1"/>
  <c r="L139"/>
  <c r="H139"/>
  <c r="G139" s="1"/>
  <c r="S139" s="1"/>
  <c r="L138"/>
  <c r="G138"/>
  <c r="R137"/>
  <c r="L137"/>
  <c r="O136"/>
  <c r="N136"/>
  <c r="E136"/>
  <c r="O135"/>
  <c r="N135"/>
  <c r="I135"/>
  <c r="L133"/>
  <c r="Q132"/>
  <c r="R132" s="1"/>
  <c r="M132"/>
  <c r="M128" s="1"/>
  <c r="M127" s="1"/>
  <c r="L131"/>
  <c r="G131"/>
  <c r="S131" s="1"/>
  <c r="Q130"/>
  <c r="Q128" s="1"/>
  <c r="Q127" s="1"/>
  <c r="L130"/>
  <c r="L129"/>
  <c r="K128"/>
  <c r="J128"/>
  <c r="J127" s="1"/>
  <c r="I128"/>
  <c r="E128"/>
  <c r="N127"/>
  <c r="K127"/>
  <c r="I127"/>
  <c r="L126"/>
  <c r="H126"/>
  <c r="G126"/>
  <c r="S126" s="1"/>
  <c r="L125"/>
  <c r="G125"/>
  <c r="S125" s="1"/>
  <c r="L124"/>
  <c r="G124"/>
  <c r="S124" s="1"/>
  <c r="Q123"/>
  <c r="R123" s="1"/>
  <c r="I123"/>
  <c r="G123"/>
  <c r="Q122"/>
  <c r="R122" s="1"/>
  <c r="L122"/>
  <c r="G122"/>
  <c r="S122" s="1"/>
  <c r="Q121"/>
  <c r="R121" s="1"/>
  <c r="L121"/>
  <c r="L120"/>
  <c r="G120"/>
  <c r="L119"/>
  <c r="P118"/>
  <c r="P117" s="1"/>
  <c r="O118"/>
  <c r="N118"/>
  <c r="N117"/>
  <c r="M118"/>
  <c r="K118"/>
  <c r="K117" s="1"/>
  <c r="J118"/>
  <c r="E118"/>
  <c r="O117"/>
  <c r="M117"/>
  <c r="J117"/>
  <c r="L116"/>
  <c r="G116"/>
  <c r="S116" s="1"/>
  <c r="L115"/>
  <c r="H115"/>
  <c r="G115"/>
  <c r="S115" s="1"/>
  <c r="L114"/>
  <c r="G114"/>
  <c r="L113"/>
  <c r="H113"/>
  <c r="G113"/>
  <c r="L112"/>
  <c r="G112"/>
  <c r="L111"/>
  <c r="G111"/>
  <c r="L110"/>
  <c r="G110"/>
  <c r="L109"/>
  <c r="G109"/>
  <c r="S109" s="1"/>
  <c r="Q108"/>
  <c r="R108"/>
  <c r="L108"/>
  <c r="G108"/>
  <c r="S108" s="1"/>
  <c r="L107"/>
  <c r="G107"/>
  <c r="S107"/>
  <c r="L106"/>
  <c r="L105"/>
  <c r="G105"/>
  <c r="S105"/>
  <c r="L104"/>
  <c r="L103"/>
  <c r="G103"/>
  <c r="S103" s="1"/>
  <c r="L102"/>
  <c r="G102"/>
  <c r="S102" s="1"/>
  <c r="L101"/>
  <c r="G101"/>
  <c r="S101"/>
  <c r="L100"/>
  <c r="G100"/>
  <c r="S100" s="1"/>
  <c r="L99"/>
  <c r="G99"/>
  <c r="S99"/>
  <c r="L98"/>
  <c r="G98"/>
  <c r="S98" s="1"/>
  <c r="L97"/>
  <c r="G97"/>
  <c r="S97"/>
  <c r="L96"/>
  <c r="G96"/>
  <c r="S96" s="1"/>
  <c r="L95"/>
  <c r="G95"/>
  <c r="S95"/>
  <c r="L94"/>
  <c r="G94"/>
  <c r="S94" s="1"/>
  <c r="L93"/>
  <c r="H93"/>
  <c r="G93"/>
  <c r="S93" s="1"/>
  <c r="L92"/>
  <c r="G92"/>
  <c r="S92"/>
  <c r="L91"/>
  <c r="G91"/>
  <c r="S91" s="1"/>
  <c r="L90"/>
  <c r="G90"/>
  <c r="S90"/>
  <c r="L89"/>
  <c r="G89"/>
  <c r="S89" s="1"/>
  <c r="L88"/>
  <c r="L87"/>
  <c r="G87"/>
  <c r="S87" s="1"/>
  <c r="L86"/>
  <c r="G86"/>
  <c r="S86"/>
  <c r="L85"/>
  <c r="R84"/>
  <c r="Q84"/>
  <c r="P84"/>
  <c r="O84"/>
  <c r="N84"/>
  <c r="M84"/>
  <c r="L84"/>
  <c r="K84"/>
  <c r="J84"/>
  <c r="I84"/>
  <c r="S83"/>
  <c r="L83"/>
  <c r="L82"/>
  <c r="G82"/>
  <c r="L81"/>
  <c r="G81"/>
  <c r="L80"/>
  <c r="G80"/>
  <c r="L79"/>
  <c r="G79"/>
  <c r="Q78"/>
  <c r="P78"/>
  <c r="L78"/>
  <c r="G78"/>
  <c r="S78"/>
  <c r="L77"/>
  <c r="G77"/>
  <c r="S77" s="1"/>
  <c r="L76"/>
  <c r="L75" s="1"/>
  <c r="L74" s="1"/>
  <c r="L72" s="1"/>
  <c r="L67" s="1"/>
  <c r="L66" s="1"/>
  <c r="G76"/>
  <c r="S76"/>
  <c r="H75"/>
  <c r="G75" s="1"/>
  <c r="R74"/>
  <c r="R72"/>
  <c r="R67" s="1"/>
  <c r="R66" s="1"/>
  <c r="Q74"/>
  <c r="P74"/>
  <c r="P72" s="1"/>
  <c r="P67" s="1"/>
  <c r="P66" s="1"/>
  <c r="O74"/>
  <c r="O72" s="1"/>
  <c r="O67" s="1"/>
  <c r="O66" s="1"/>
  <c r="N74"/>
  <c r="N72"/>
  <c r="N67" s="1"/>
  <c r="N66" s="1"/>
  <c r="M74"/>
  <c r="K74"/>
  <c r="K72" s="1"/>
  <c r="K67" s="1"/>
  <c r="K66" s="1"/>
  <c r="J74"/>
  <c r="J72"/>
  <c r="I74"/>
  <c r="H74"/>
  <c r="G74" s="1"/>
  <c r="S74" s="1"/>
  <c r="L73"/>
  <c r="Q72"/>
  <c r="Q67" s="1"/>
  <c r="Q66" s="1"/>
  <c r="M72"/>
  <c r="M67" s="1"/>
  <c r="M66" s="1"/>
  <c r="I72"/>
  <c r="L71"/>
  <c r="G71"/>
  <c r="S71" s="1"/>
  <c r="L70"/>
  <c r="K70"/>
  <c r="J70"/>
  <c r="J67" s="1"/>
  <c r="J66" s="1"/>
  <c r="I70"/>
  <c r="H70"/>
  <c r="G70" s="1"/>
  <c r="S70" s="1"/>
  <c r="L69"/>
  <c r="H69"/>
  <c r="G69" s="1"/>
  <c r="S69" s="1"/>
  <c r="L68"/>
  <c r="E67"/>
  <c r="Q65"/>
  <c r="R65"/>
  <c r="G65"/>
  <c r="G64"/>
  <c r="L63"/>
  <c r="G63"/>
  <c r="S63" s="1"/>
  <c r="L62"/>
  <c r="G62"/>
  <c r="S62"/>
  <c r="L61"/>
  <c r="G61"/>
  <c r="L60"/>
  <c r="H60"/>
  <c r="G60" s="1"/>
  <c r="S60" s="1"/>
  <c r="L59"/>
  <c r="G59"/>
  <c r="P58"/>
  <c r="Q58" s="1"/>
  <c r="L58"/>
  <c r="I58"/>
  <c r="H58"/>
  <c r="G58" s="1"/>
  <c r="L57"/>
  <c r="I57"/>
  <c r="I52" s="1"/>
  <c r="I51" s="1"/>
  <c r="H57"/>
  <c r="G57"/>
  <c r="J56"/>
  <c r="Q55"/>
  <c r="R55" s="1"/>
  <c r="L55"/>
  <c r="L54"/>
  <c r="G54"/>
  <c r="S54"/>
  <c r="L53"/>
  <c r="O52"/>
  <c r="O51" s="1"/>
  <c r="N52"/>
  <c r="N51"/>
  <c r="M52"/>
  <c r="M51"/>
  <c r="K52"/>
  <c r="K51"/>
  <c r="J52"/>
  <c r="J51"/>
  <c r="L50"/>
  <c r="S50" s="1"/>
  <c r="G50"/>
  <c r="L49"/>
  <c r="G49"/>
  <c r="L48"/>
  <c r="H48"/>
  <c r="G48" s="1"/>
  <c r="S48" s="1"/>
  <c r="L47"/>
  <c r="G47"/>
  <c r="S47" s="1"/>
  <c r="L46"/>
  <c r="G46"/>
  <c r="Q45"/>
  <c r="R45"/>
  <c r="G45"/>
  <c r="L44"/>
  <c r="S44" s="1"/>
  <c r="L43"/>
  <c r="S43" s="1"/>
  <c r="L42"/>
  <c r="G42"/>
  <c r="S42" s="1"/>
  <c r="L41"/>
  <c r="G41"/>
  <c r="S41"/>
  <c r="L40"/>
  <c r="L39"/>
  <c r="G39"/>
  <c r="S39"/>
  <c r="L38"/>
  <c r="L37"/>
  <c r="G37"/>
  <c r="S37" s="1"/>
  <c r="L36"/>
  <c r="H36"/>
  <c r="G36" s="1"/>
  <c r="S36" s="1"/>
  <c r="L35"/>
  <c r="S35" s="1"/>
  <c r="G35"/>
  <c r="L34"/>
  <c r="G34"/>
  <c r="L33"/>
  <c r="H33"/>
  <c r="G33"/>
  <c r="S33" s="1"/>
  <c r="L32"/>
  <c r="G32"/>
  <c r="L31"/>
  <c r="G31"/>
  <c r="S31" s="1"/>
  <c r="L30"/>
  <c r="H30"/>
  <c r="G30" s="1"/>
  <c r="S30" s="1"/>
  <c r="L29"/>
  <c r="L28"/>
  <c r="L27"/>
  <c r="L26"/>
  <c r="G26"/>
  <c r="S26" s="1"/>
  <c r="Q25"/>
  <c r="R25"/>
  <c r="L24"/>
  <c r="G24"/>
  <c r="L23"/>
  <c r="L21"/>
  <c r="G21"/>
  <c r="S21"/>
  <c r="Q20"/>
  <c r="R20"/>
  <c r="L20"/>
  <c r="G20"/>
  <c r="S20" s="1"/>
  <c r="L19"/>
  <c r="G19"/>
  <c r="S19" s="1"/>
  <c r="L18"/>
  <c r="G18"/>
  <c r="L17"/>
  <c r="G17"/>
  <c r="S17" s="1"/>
  <c r="L16"/>
  <c r="H16"/>
  <c r="G16" s="1"/>
  <c r="R15"/>
  <c r="M15"/>
  <c r="L15"/>
  <c r="P14"/>
  <c r="Q14" s="1"/>
  <c r="L14"/>
  <c r="I12"/>
  <c r="I11" s="1"/>
  <c r="O12"/>
  <c r="N12"/>
  <c r="N11"/>
  <c r="K12"/>
  <c r="J12"/>
  <c r="J11" s="1"/>
  <c r="O11"/>
  <c r="K11"/>
  <c r="G29"/>
  <c r="S29" s="1"/>
  <c r="S18"/>
  <c r="S24"/>
  <c r="S32"/>
  <c r="S34"/>
  <c r="S46"/>
  <c r="S49"/>
  <c r="S59"/>
  <c r="S79"/>
  <c r="S80"/>
  <c r="S81"/>
  <c r="S82"/>
  <c r="S110"/>
  <c r="S111"/>
  <c r="S112"/>
  <c r="S113"/>
  <c r="S114"/>
  <c r="I118"/>
  <c r="I117" s="1"/>
  <c r="S120"/>
  <c r="S138"/>
  <c r="S143"/>
  <c r="S154"/>
  <c r="S155"/>
  <c r="S156"/>
  <c r="S163"/>
  <c r="L164"/>
  <c r="S164" s="1"/>
  <c r="Q158"/>
  <c r="R158" s="1"/>
  <c r="S57"/>
  <c r="S61"/>
  <c r="R13"/>
  <c r="M12"/>
  <c r="M11" s="1"/>
  <c r="L13"/>
  <c r="L25"/>
  <c r="L45"/>
  <c r="S45"/>
  <c r="L64"/>
  <c r="S64"/>
  <c r="Q64"/>
  <c r="L65"/>
  <c r="S65" s="1"/>
  <c r="H85"/>
  <c r="G85" s="1"/>
  <c r="S85" s="1"/>
  <c r="Q118"/>
  <c r="Q117" s="1"/>
  <c r="L157"/>
  <c r="S157" s="1"/>
  <c r="L158"/>
  <c r="S158" s="1"/>
  <c r="L166"/>
  <c r="S166" s="1"/>
  <c r="S13"/>
  <c r="Q22" l="1"/>
  <c r="R22" s="1"/>
  <c r="P12"/>
  <c r="P11" s="1"/>
  <c r="G136"/>
  <c r="L56"/>
  <c r="L52" s="1"/>
  <c r="L51" s="1"/>
  <c r="S160"/>
  <c r="S165"/>
  <c r="P136"/>
  <c r="P135" s="1"/>
  <c r="S56"/>
  <c r="S132"/>
  <c r="L12"/>
  <c r="L11" s="1"/>
  <c r="S15"/>
  <c r="S22"/>
  <c r="G172"/>
  <c r="G171" s="1"/>
  <c r="H128"/>
  <c r="H127" s="1"/>
  <c r="H27"/>
  <c r="G27" s="1"/>
  <c r="S27" s="1"/>
  <c r="H12"/>
  <c r="H11" s="1"/>
  <c r="H135"/>
  <c r="H52"/>
  <c r="H51" s="1"/>
  <c r="I67"/>
  <c r="I66" s="1"/>
  <c r="I177" s="1"/>
  <c r="H73"/>
  <c r="G73" s="1"/>
  <c r="S73" s="1"/>
  <c r="G40"/>
  <c r="S40" s="1"/>
  <c r="R58"/>
  <c r="Q52"/>
  <c r="Q51" s="1"/>
  <c r="S121"/>
  <c r="G118"/>
  <c r="G135"/>
  <c r="R146"/>
  <c r="R136" s="1"/>
  <c r="R135" s="1"/>
  <c r="Q136"/>
  <c r="Q135" s="1"/>
  <c r="Q12"/>
  <c r="Q11" s="1"/>
  <c r="R14"/>
  <c r="G12"/>
  <c r="S16"/>
  <c r="S58"/>
  <c r="G52"/>
  <c r="S137"/>
  <c r="L136"/>
  <c r="L135" s="1"/>
  <c r="S172"/>
  <c r="L118"/>
  <c r="L117" s="1"/>
  <c r="S123"/>
  <c r="L128"/>
  <c r="L127" s="1"/>
  <c r="S134"/>
  <c r="J177"/>
  <c r="N177"/>
  <c r="O177"/>
  <c r="S75"/>
  <c r="R118"/>
  <c r="R117" s="1"/>
  <c r="R52"/>
  <c r="R51" s="1"/>
  <c r="R12"/>
  <c r="R11" s="1"/>
  <c r="K177"/>
  <c r="H84"/>
  <c r="H118"/>
  <c r="H117" s="1"/>
  <c r="G129"/>
  <c r="R130"/>
  <c r="R128" s="1"/>
  <c r="R127" s="1"/>
  <c r="M136"/>
  <c r="M135" s="1"/>
  <c r="M177" s="1"/>
  <c r="H170"/>
  <c r="P177" l="1"/>
  <c r="L177"/>
  <c r="R177"/>
  <c r="G128"/>
  <c r="S129"/>
  <c r="G84"/>
  <c r="S84" s="1"/>
  <c r="H72"/>
  <c r="S171"/>
  <c r="G170"/>
  <c r="S170" s="1"/>
  <c r="G51"/>
  <c r="S51" s="1"/>
  <c r="S52"/>
  <c r="S118"/>
  <c r="S117" s="1"/>
  <c r="G117"/>
  <c r="G11"/>
  <c r="S12"/>
  <c r="S136"/>
  <c r="Q177"/>
  <c r="S135"/>
  <c r="S11" l="1"/>
  <c r="S128"/>
  <c r="G127"/>
  <c r="S127" s="1"/>
  <c r="H67"/>
  <c r="G72"/>
  <c r="S72" s="1"/>
  <c r="G67" l="1"/>
  <c r="H66"/>
  <c r="H177" s="1"/>
  <c r="G66" l="1"/>
  <c r="S67"/>
  <c r="S66" l="1"/>
  <c r="G177"/>
  <c r="S177" s="1"/>
</calcChain>
</file>

<file path=xl/sharedStrings.xml><?xml version="1.0" encoding="utf-8"?>
<sst xmlns="http://schemas.openxmlformats.org/spreadsheetml/2006/main" count="664" uniqueCount="498">
  <si>
    <t>Видатки загального фонду</t>
  </si>
  <si>
    <t>Всього</t>
  </si>
  <si>
    <t>Видатки спеціального фонду</t>
  </si>
  <si>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</si>
  <si>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</si>
  <si>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</si>
  <si>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</si>
  <si>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</si>
  <si>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</si>
  <si>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Видатки на впровадж.засобів обліку енергоносіїв</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</si>
  <si>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</si>
  <si>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</si>
  <si>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</si>
  <si>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</si>
  <si>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</si>
  <si>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</si>
  <si>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</si>
  <si>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</si>
  <si>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Компенсаційні виплати на пільговий проїзд автомобільним транспортом окремим категоріям громадян</t>
  </si>
  <si>
    <t>Капітальні вкладення</t>
  </si>
  <si>
    <t>Компенсаційні виплати на пільговий проїзд залізничним транспортом окремим категоріям громадян</t>
  </si>
  <si>
    <t>Будівництво житла для військовослужбовців</t>
  </si>
  <si>
    <t>Водопровідно-каналізаційне господарство</t>
  </si>
  <si>
    <t>Дотація ЖКГ</t>
  </si>
  <si>
    <t>Теплові мережі</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</si>
  <si>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</si>
  <si>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</si>
  <si>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</si>
  <si>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Фінансова підтримка громадських ор-ганізацій інвалідів і ветеранів</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</si>
  <si>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</si>
  <si>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 жертвам нацистських переслідувань та реабілітованим громадянам</t>
  </si>
  <si>
    <t xml:space="preserve">Інші пільги ветеранам військової служби, ветеранам органів внутрішніх справ, ветеранам державної пожежної охорони, ветеранам Державної служби спеціального зв’язку та захисту інформації України, вдовам (вдівцям) </t>
  </si>
  <si>
    <t xml:space="preserve"> Інші пільги громадянам, які постраждали внаслідок Чорнобильської катастрофи, дружинам (чоловікам) та дітям померлих громадян, смерть яких пов’язана з Чорнобильською катастрофою</t>
  </si>
  <si>
    <t>Пільги окремим категоріям громадян з послуг зв"язку</t>
  </si>
  <si>
    <t>Інвестиційні проекти</t>
  </si>
  <si>
    <t>Заходи з організації рятування на водах </t>
  </si>
  <si>
    <t>Газові заводи і газова мережа</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</si>
  <si>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</si>
  <si>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</si>
  <si>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</si>
  <si>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</si>
  <si>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</si>
  <si>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</si>
  <si>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</si>
  <si>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оплата праці</t>
  </si>
  <si>
    <t>бюджет розвитку</t>
  </si>
  <si>
    <t>091206</t>
  </si>
  <si>
    <t>Центри соціальної реабілітації дітей – інвалідів; центри професійної реабілітації інвалідів</t>
  </si>
  <si>
    <t>Субвенція з державного бюджету місцевим бюджетам на погашення заборгованості з різниці в тарифах на теплову енергію</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</si>
  <si>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</si>
  <si>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</si>
  <si>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</si>
  <si>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</si>
  <si>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</si>
  <si>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</si>
  <si>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</si>
  <si>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</si>
  <si>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</si>
  <si>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Пільги ветеранам війни та праці</t>
  </si>
  <si>
    <t>в т.ч. за рахунок субвенцій з Держбюджету та обласного бюджету</t>
  </si>
  <si>
    <t>Допомога сімям з дітьми</t>
  </si>
  <si>
    <t>в т.ч.  за рахунок субвенції з Держбюджету</t>
  </si>
  <si>
    <t>в т.ч. за рахунок субвенції з Держбюджету</t>
  </si>
  <si>
    <t>в т.ч. за рахунок субвенції з  Держбюджету</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</si>
  <si>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</si>
  <si>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</si>
  <si>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</si>
  <si>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Збереження, розвиток, реконструкція та реставрація      пам"яток  історії та культури</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</si>
  <si>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</si>
  <si>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</si>
  <si>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</si>
  <si>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</si>
  <si>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</si>
  <si>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</si>
  <si>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 xml:space="preserve">Погашення заборгованості з різниці в тарифах  на  теплову енергію,послуги з централіз.водопостачання та водовідведення, що виробл.,трансп., та постачал.населенню...  </t>
  </si>
  <si>
    <t>Компенсація  населенню додаткових витрат на оплату послуг  газопостачання, центр.опалення,ценр.пост. гарячої води</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</si>
  <si>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</si>
  <si>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</si>
  <si>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</si>
  <si>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</si>
  <si>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</si>
  <si>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</si>
  <si>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</si>
  <si>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</si>
  <si>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</si>
  <si>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в т.ч.Субвенція на виплату державної  соціальної  допомоги на дітей - сиріт та дітей, позбавлених батьківського піклування,грошового забезпечення батькам-вихователям у прийомних сім’ях за принципом "гроші ходять за дитиною"</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</si>
  <si>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</si>
  <si>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</si>
  <si>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</si>
  <si>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</si>
  <si>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</si>
  <si>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</si>
  <si>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з них видатки за рахунок коштів, що передаються із загального фонду до бюджету розвитку(спеціальний фонд)</t>
  </si>
  <si>
    <t>010116</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</si>
  <si>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</si>
  <si>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</si>
  <si>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</si>
  <si>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</si>
  <si>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</si>
  <si>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</si>
  <si>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</si>
  <si>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</si>
  <si>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</si>
  <si>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</si>
  <si>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</si>
  <si>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</si>
  <si>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</si>
  <si>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</si>
  <si>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</si>
  <si>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</si>
  <si>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</si>
  <si>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</si>
  <si>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</si>
  <si>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</si>
  <si>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</si>
  <si>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</si>
  <si>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</si>
  <si>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</si>
  <si>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</si>
  <si>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</si>
  <si>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070802</t>
  </si>
  <si>
    <t>070801</t>
  </si>
  <si>
    <t>Придбання підручників</t>
  </si>
  <si>
    <t>0970</t>
  </si>
  <si>
    <t>0470</t>
  </si>
  <si>
    <t>Код ФКВКБ3</t>
  </si>
  <si>
    <t>0300000</t>
  </si>
  <si>
    <t>0312010</t>
  </si>
  <si>
    <t>0313112</t>
  </si>
  <si>
    <t>0317310</t>
  </si>
  <si>
    <t>0317810</t>
  </si>
  <si>
    <t>1000000</t>
  </si>
  <si>
    <t>1011170</t>
  </si>
  <si>
    <t>1011230</t>
  </si>
  <si>
    <t>1300000</t>
  </si>
  <si>
    <t>1500000</t>
  </si>
  <si>
    <t>1513105</t>
  </si>
  <si>
    <t>4000000</t>
  </si>
  <si>
    <t>2400000</t>
  </si>
  <si>
    <t>0313202</t>
  </si>
  <si>
    <t>1011160</t>
  </si>
  <si>
    <t>1513203</t>
  </si>
  <si>
    <t>1031</t>
  </si>
  <si>
    <t>1513204</t>
  </si>
  <si>
    <t>1032</t>
  </si>
  <si>
    <t>1513205</t>
  </si>
  <si>
    <t>1033</t>
  </si>
  <si>
    <t>1513206</t>
  </si>
  <si>
    <t>1034</t>
  </si>
  <si>
    <t>Найменування головного розпорядника, відповідального виконавця, бюджетної програми або напряму видатків
згідно з типовою відомчою/ТПКВКМБ /
ТКВКБМС</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</si>
  <si>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</si>
  <si>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</si>
  <si>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</si>
  <si>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</si>
  <si>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Надання фінансової підтримки громадським організаціям інвалідів і ветеранів, діяльність яких має соціальну спрямованість</t>
  </si>
  <si>
    <t>Резервний фонд</t>
  </si>
  <si>
    <t>Надання позашкільної освіти позашкільними закладами освіти, заходи із позашкільної роботи з дітьми</t>
  </si>
  <si>
    <t>Придбання, доставка та зберігання підручників і посібників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</si>
  <si>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</si>
  <si>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</si>
  <si>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</si>
  <si>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</si>
  <si>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 xml:space="preserve">в т.ч.Субвенція </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</si>
  <si>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</si>
  <si>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</si>
  <si>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</si>
  <si>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</si>
  <si>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</si>
  <si>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</si>
  <si>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</si>
  <si>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</si>
  <si>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</si>
  <si>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</si>
  <si>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</si>
  <si>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</si>
  <si>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</si>
  <si>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</si>
  <si>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                                          за головними розпорядниками коштів</t>
  </si>
  <si>
    <t xml:space="preserve">                                                                 Розподіл </t>
  </si>
  <si>
    <t>Додаток №  3</t>
  </si>
  <si>
    <t xml:space="preserve">                        видатків міського  бюджету міста Ніжина на 2018 рік</t>
  </si>
  <si>
    <t>Керівництво і управління у відповідній сфері у містах ( місті Києві), селищах, селах,об"єднаних територіальних громадах</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</si>
  <si>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</si>
  <si>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</si>
  <si>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</si>
  <si>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</si>
  <si>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</si>
  <si>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Утримання та забезпечення діяльності центрів соціальних  для сім"ї, дітей та молоді</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</si>
  <si>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</si>
  <si>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</si>
  <si>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</si>
  <si>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</si>
  <si>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</si>
  <si>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</si>
  <si>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</si>
  <si>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</si>
  <si>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</si>
  <si>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</si>
  <si>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</si>
  <si>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</si>
  <si>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0316130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</si>
  <si>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</si>
  <si>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</si>
  <si>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</si>
  <si>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</si>
  <si>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080101</t>
  </si>
  <si>
    <t>КФКВ</t>
  </si>
  <si>
    <t>080500</t>
  </si>
  <si>
    <t>080203</t>
  </si>
  <si>
    <t>081009</t>
  </si>
  <si>
    <t>090802</t>
  </si>
  <si>
    <t>091104</t>
  </si>
  <si>
    <t>091103</t>
  </si>
  <si>
    <t>090412</t>
  </si>
  <si>
    <t>100302</t>
  </si>
  <si>
    <t>160101</t>
  </si>
  <si>
    <t>210105</t>
  </si>
  <si>
    <t>0200000</t>
  </si>
  <si>
    <t>0210000</t>
  </si>
  <si>
    <t>0210160</t>
  </si>
  <si>
    <t>0310180</t>
  </si>
  <si>
    <t>0212010</t>
  </si>
  <si>
    <t>0212141</t>
  </si>
  <si>
    <t>0212142</t>
  </si>
  <si>
    <t>0212143</t>
  </si>
  <si>
    <t>0212100</t>
  </si>
  <si>
    <t>0212030</t>
  </si>
  <si>
    <t>0212144</t>
  </si>
  <si>
    <t>0213112</t>
  </si>
  <si>
    <t>0213121</t>
  </si>
  <si>
    <t>0213122</t>
  </si>
  <si>
    <t>0213131</t>
  </si>
  <si>
    <t>0216020</t>
  </si>
  <si>
    <t>0217130</t>
  </si>
  <si>
    <t>0218110</t>
  </si>
  <si>
    <t>0218410</t>
  </si>
  <si>
    <t>0218420</t>
  </si>
  <si>
    <t>250404</t>
  </si>
  <si>
    <t>180404</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</si>
  <si>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</si>
  <si>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</si>
  <si>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</si>
  <si>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</si>
  <si>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</si>
  <si>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</si>
  <si>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</si>
  <si>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</si>
  <si>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</si>
  <si>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</si>
  <si>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</si>
  <si>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</si>
  <si>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070101</t>
  </si>
  <si>
    <t>0611010</t>
  </si>
  <si>
    <t>Надання дошкільної освіти</t>
  </si>
  <si>
    <t>070201</t>
  </si>
  <si>
    <t>0611020</t>
  </si>
  <si>
    <t>070401</t>
  </si>
  <si>
    <t>0611090</t>
  </si>
  <si>
    <t>0611150</t>
  </si>
  <si>
    <t xml:space="preserve">Методичне забезпечення діяльності навчальних закладів </t>
  </si>
  <si>
    <t>070804; 070805;  070806</t>
  </si>
  <si>
    <t>130107</t>
  </si>
  <si>
    <t>0615031</t>
  </si>
  <si>
    <t>1310000</t>
  </si>
  <si>
    <t>1100000</t>
  </si>
  <si>
    <t>1110000</t>
  </si>
  <si>
    <t>1110160</t>
  </si>
  <si>
    <t>130102</t>
  </si>
  <si>
    <t>130106</t>
  </si>
  <si>
    <t>1115012</t>
  </si>
  <si>
    <t>130115</t>
  </si>
  <si>
    <t>1115061</t>
  </si>
  <si>
    <t>130203</t>
  </si>
  <si>
    <t>1115032</t>
  </si>
  <si>
    <t>0800000</t>
  </si>
  <si>
    <t>1510000</t>
  </si>
  <si>
    <t>0810000</t>
  </si>
  <si>
    <t>0810160</t>
  </si>
  <si>
    <t>070303</t>
  </si>
  <si>
    <t>0813000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</si>
  <si>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</si>
  <si>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</si>
  <si>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</si>
  <si>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</si>
  <si>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090405</t>
  </si>
  <si>
    <t>0813012</t>
  </si>
  <si>
    <t>090406</t>
  </si>
  <si>
    <t>0813022</t>
  </si>
  <si>
    <t>090212</t>
  </si>
  <si>
    <t>0813050</t>
  </si>
  <si>
    <t>090302</t>
  </si>
  <si>
    <t>0813042</t>
  </si>
  <si>
    <t>090304</t>
  </si>
  <si>
    <t>0813041</t>
  </si>
  <si>
    <t>090305</t>
  </si>
  <si>
    <t>0813043</t>
  </si>
  <si>
    <t>0813044</t>
  </si>
  <si>
    <t>090306</t>
  </si>
  <si>
    <t>0813045</t>
  </si>
  <si>
    <t>090307</t>
  </si>
  <si>
    <t>0813046</t>
  </si>
  <si>
    <t>090308</t>
  </si>
  <si>
    <t>0813047</t>
  </si>
  <si>
    <t>090413</t>
  </si>
  <si>
    <t>0813080</t>
  </si>
  <si>
    <t>090417</t>
  </si>
  <si>
    <t>0813090</t>
  </si>
  <si>
    <t>0813230</t>
  </si>
  <si>
    <t>091204</t>
  </si>
  <si>
    <t>0813104</t>
  </si>
  <si>
    <t>0813105</t>
  </si>
  <si>
    <t>091207</t>
  </si>
  <si>
    <t>Управління  освіти  міської ради</t>
  </si>
  <si>
    <t>091209</t>
  </si>
  <si>
    <t>0810180</t>
  </si>
  <si>
    <t>250404   програми</t>
  </si>
  <si>
    <t>250404  програми</t>
  </si>
  <si>
    <t>241000</t>
  </si>
  <si>
    <t>110201</t>
  </si>
  <si>
    <t>110202</t>
  </si>
  <si>
    <t>110204</t>
  </si>
  <si>
    <t>110205</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</si>
  <si>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</si>
  <si>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</si>
  <si>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</si>
  <si>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</si>
  <si>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</si>
  <si>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</si>
  <si>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</si>
  <si>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</si>
  <si>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</si>
  <si>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</si>
  <si>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</si>
  <si>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100203</t>
  </si>
  <si>
    <t>150202</t>
  </si>
  <si>
    <t>210110</t>
  </si>
  <si>
    <t>240601</t>
  </si>
  <si>
    <t>1210160</t>
  </si>
  <si>
    <t xml:space="preserve">100102  </t>
  </si>
  <si>
    <t>Утримання та ефективна експлуатація  об"єктів житлово- комунального господарства</t>
  </si>
  <si>
    <t>1216010</t>
  </si>
  <si>
    <t>1216030</t>
  </si>
  <si>
    <t>Організація благоустрою населених пунктів</t>
  </si>
  <si>
    <t>150101; 150122</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</si>
  <si>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</si>
  <si>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</si>
  <si>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</si>
  <si>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</si>
  <si>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</si>
  <si>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</si>
  <si>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</si>
  <si>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</si>
  <si>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</si>
  <si>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250102</t>
  </si>
  <si>
    <t>3718700</t>
  </si>
  <si>
    <t>Усього</t>
  </si>
  <si>
    <t>Керівництво і управління у відповідній сфері у містах (місті Києві), селищах, селах,об"єднаних територіальних громадах</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</si>
  <si>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</si>
  <si>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Надання спеціальної освіти  школами естетичного  виховання                                    (музичними , художніми, хореографічними, театральними, хоровими,  мистецькими)</t>
  </si>
  <si>
    <t>1115011</t>
  </si>
  <si>
    <t>1218311</t>
  </si>
  <si>
    <t>Охорона та раціональне використання природних ресурсів</t>
  </si>
  <si>
    <t>150122</t>
  </si>
  <si>
    <t>0490</t>
  </si>
  <si>
    <t>0316410</t>
  </si>
  <si>
    <t>0217363</t>
  </si>
  <si>
    <t>0813031</t>
  </si>
  <si>
    <t>0813032</t>
  </si>
  <si>
    <t>0813033</t>
  </si>
  <si>
    <t>0813035</t>
  </si>
  <si>
    <t>Надання  піцльг огкремим категоріям громадян з  оплати послуг зв"язку</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</si>
  <si>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</si>
  <si>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</si>
  <si>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</si>
  <si>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170302</t>
  </si>
  <si>
    <t>170102</t>
  </si>
  <si>
    <t>080800</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</si>
  <si>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</si>
  <si>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</si>
  <si>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</si>
  <si>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</si>
  <si>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</si>
  <si>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</si>
  <si>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в т.ч. Субвенція</t>
  </si>
  <si>
    <t>0212151</t>
  </si>
  <si>
    <t>081002</t>
  </si>
  <si>
    <t>081003</t>
  </si>
  <si>
    <t>0212152</t>
  </si>
  <si>
    <t>Забезпечення  діяльності інших закладів у сфері охорони здоров"я</t>
  </si>
  <si>
    <t>Інші програми та заходи у сфері охорони здоров"я</t>
  </si>
  <si>
    <t>0213242</t>
  </si>
  <si>
    <t>09412</t>
  </si>
  <si>
    <t>Інші заходи у сфері соціального захисту і соціального забезпечення</t>
  </si>
  <si>
    <t>Виконання інвестиційних  проектів в рамках здійснення заходів щодо  соціально - е6кономічного  розвитку окремих територій            ( включаючи співфінансування)</t>
  </si>
  <si>
    <r>
      <t xml:space="preserve">Код програмної класифікації видатків та кредитування місцевих бюджетів       </t>
    </r>
    <r>
      <rPr>
        <b/>
        <sz val="14"/>
        <rFont val="Times New Roman"/>
        <family val="1"/>
        <charset val="204"/>
      </rPr>
      <t>Наказ Мінфіну №793                  ( із змінами)</t>
    </r>
  </si>
  <si>
    <t>0611161</t>
  </si>
  <si>
    <t>1011190; 1011200;    1011211</t>
  </si>
  <si>
    <t>Забезпечення діяльності інших закладів у сфері освіти</t>
  </si>
  <si>
    <t>07808</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</si>
  <si>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</si>
  <si>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Соціальний захист та соціальне забезпечення</t>
  </si>
  <si>
    <t>Пільги відповідно до законодавства</t>
  </si>
  <si>
    <t xml:space="preserve">в т.ч. за рахунок субвенцій з Держбюджету </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</si>
  <si>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</si>
  <si>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</si>
  <si>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</si>
  <si>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</si>
  <si>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</si>
  <si>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</si>
  <si>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</si>
  <si>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</si>
  <si>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110502</t>
  </si>
  <si>
    <t>Забезпечення діяльності інших закладів в галузі  культури і мистецтва</t>
  </si>
  <si>
    <t>1014082</t>
  </si>
  <si>
    <t>110104</t>
  </si>
  <si>
    <t>Інші заходи в галузі  культури і мистецтва</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</si>
  <si>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</si>
  <si>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</si>
  <si>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</si>
  <si>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</si>
  <si>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</si>
  <si>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</si>
  <si>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</si>
  <si>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</si>
  <si>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</si>
  <si>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</si>
  <si>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</si>
  <si>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</si>
  <si>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</si>
  <si>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</si>
  <si>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</si>
  <si>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</si>
  <si>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</si>
  <si>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</si>
  <si>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Внески до статутного капіталу суб"єктів господарювання</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</si>
  <si>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</si>
  <si>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</si>
  <si>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</si>
  <si>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</si>
  <si>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в т.ч Субвенція</t>
  </si>
  <si>
    <t>0456</t>
  </si>
  <si>
    <t>170703</t>
  </si>
  <si>
    <t>0813160</t>
  </si>
  <si>
    <t>1513181</t>
  </si>
  <si>
    <t>091205</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</si>
  <si>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</si>
  <si>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090401</t>
  </si>
  <si>
    <t>091300</t>
  </si>
  <si>
    <t>090209</t>
  </si>
  <si>
    <t>090214</t>
  </si>
  <si>
    <t>1217310</t>
  </si>
  <si>
    <t>1217321</t>
  </si>
  <si>
    <t>1217322</t>
  </si>
  <si>
    <t>1217325</t>
  </si>
  <si>
    <t>1217330</t>
  </si>
  <si>
    <r>
      <t>Будівництво</t>
    </r>
    <r>
      <rPr>
        <vertAlign val="superscript"/>
        <sz val="22"/>
        <rFont val="Times New Roman"/>
        <family val="1"/>
        <charset val="204"/>
      </rPr>
      <t>1</t>
    </r>
    <r>
      <rPr>
        <sz val="22"/>
        <rFont val="Times New Roman"/>
        <family val="1"/>
        <charset val="204"/>
      </rPr>
      <t xml:space="preserve"> інших об'єктів соціальної та виробничої інфраструктури комунальної власності</t>
    </r>
  </si>
  <si>
    <r>
      <t>Будівництво</t>
    </r>
    <r>
      <rPr>
        <vertAlign val="superscript"/>
        <sz val="22"/>
        <rFont val="Times New Roman"/>
        <family val="1"/>
        <charset val="204"/>
      </rPr>
      <t>1</t>
    </r>
    <r>
      <rPr>
        <sz val="22"/>
        <rFont val="Times New Roman"/>
        <family val="1"/>
        <charset val="204"/>
      </rPr>
      <t xml:space="preserve"> освітніх установ та закладів</t>
    </r>
  </si>
  <si>
    <r>
      <t>Будівництво</t>
    </r>
    <r>
      <rPr>
        <vertAlign val="superscript"/>
        <sz val="22"/>
        <rFont val="Times New Roman"/>
        <family val="1"/>
        <charset val="204"/>
      </rPr>
      <t>1</t>
    </r>
    <r>
      <rPr>
        <sz val="22"/>
        <rFont val="Times New Roman"/>
        <family val="1"/>
        <charset val="204"/>
      </rPr>
      <t xml:space="preserve"> медичних установ та закладів</t>
    </r>
  </si>
  <si>
    <r>
      <t>Будівництво</t>
    </r>
    <r>
      <rPr>
        <vertAlign val="superscript"/>
        <sz val="22"/>
        <rFont val="Times New Roman"/>
        <family val="1"/>
        <charset val="204"/>
      </rPr>
      <t>1</t>
    </r>
    <r>
      <rPr>
        <sz val="22"/>
        <rFont val="Times New Roman"/>
        <family val="1"/>
        <charset val="204"/>
      </rPr>
      <t xml:space="preserve"> споруд, установ та закладів фізичної культури і спорту</t>
    </r>
  </si>
  <si>
    <t>091101, 091102</t>
  </si>
  <si>
    <t>120100, 120201</t>
  </si>
  <si>
    <t>Міський голова                                                                                                              А.В.Лінник</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</si>
  <si>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</si>
  <si>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</si>
  <si>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</si>
  <si>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r>
      <t xml:space="preserve">Код програмної класифікації видатків та кредитування місцевих бюджетів       </t>
    </r>
    <r>
      <rPr>
        <b/>
        <sz val="14"/>
        <rFont val="Times New Roman"/>
        <family val="1"/>
        <charset val="204"/>
      </rPr>
      <t xml:space="preserve">Наказ Мінфіну № 1195                </t>
    </r>
  </si>
  <si>
    <t>Забезпечення діяльності водопровідно- каналізаційного господарства</t>
  </si>
  <si>
    <t>Інша діяльність, пов"язана з експлуатацією об"єктів житлово- комунального господарства</t>
  </si>
  <si>
    <r>
      <t>Будівництво</t>
    </r>
    <r>
      <rPr>
        <vertAlign val="superscript"/>
        <sz val="22"/>
        <rFont val="Times New Roman"/>
        <family val="1"/>
        <charset val="204"/>
      </rPr>
      <t>1</t>
    </r>
    <r>
      <rPr>
        <sz val="22"/>
        <rFont val="Times New Roman"/>
        <family val="1"/>
        <charset val="204"/>
      </rPr>
      <t xml:space="preserve"> об'єктів житлово-комунального господарства</t>
    </r>
  </si>
  <si>
    <t>в т.ч. субвенція на утримання об"єкту спільного користування</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</si>
  <si>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</si>
  <si>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</si>
  <si>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</si>
  <si>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</si>
  <si>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090201  090204  090207  090210  090215</t>
  </si>
  <si>
    <t>080101   080800  080203</t>
  </si>
  <si>
    <t xml:space="preserve">090202 090205 090208  090216 </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</si>
  <si>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</si>
  <si>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</si>
  <si>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</si>
  <si>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</si>
  <si>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</si>
  <si>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</si>
  <si>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</si>
  <si>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</si>
  <si>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</si>
  <si>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</si>
  <si>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</si>
  <si>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</si>
  <si>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</si>
  <si>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Проектування, реставрація та охорона пам"яток архитектури</t>
  </si>
  <si>
    <t>в т.ч.  Освітня субвенція</t>
  </si>
  <si>
    <t>1210180</t>
  </si>
  <si>
    <t>1117363</t>
  </si>
  <si>
    <t xml:space="preserve">             до рішення 41  сесії міської ради</t>
  </si>
  <si>
    <t>3719770</t>
  </si>
  <si>
    <t>Інші субвенції з місцевого бюджету</t>
  </si>
  <si>
    <t>VІІ скликання від 08 серпня 2018 року</t>
  </si>
</sst>
</file>

<file path=xl/styles.xml><?xml version="1.0" encoding="utf-8"?>
<styleSheet xmlns="http://schemas.openxmlformats.org/spreadsheetml/2006/main">
  <numFmts count="3">
    <numFmt numFmtId="164" formatCode="_-* #,##0.00&quot;грн.&quot;_-;\-* #,##0.00&quot;грн.&quot;_-;_-* &quot;-&quot;??&quot;грн.&quot;_-;_-@_-"/>
    <numFmt numFmtId="165" formatCode="000000"/>
    <numFmt numFmtId="166" formatCode="#,##0.0"/>
  </numFmts>
  <fonts count="24">
    <font>
      <sz val="10"/>
      <name val="Arial Cyr"/>
      <charset val="204"/>
    </font>
    <font>
      <sz val="10"/>
      <name val="Arial Cyr"/>
      <charset val="204"/>
    </font>
    <font>
      <sz val="11"/>
      <name val="Arial Cyr"/>
      <family val="2"/>
      <charset val="204"/>
    </font>
    <font>
      <sz val="12"/>
      <name val="Arial Narrow"/>
      <family val="2"/>
      <charset val="204"/>
    </font>
    <font>
      <sz val="12"/>
      <name val="Times New Roman"/>
      <family val="1"/>
      <charset val="204"/>
    </font>
    <font>
      <b/>
      <sz val="14"/>
      <name val="Times New Roman"/>
      <family val="1"/>
      <charset val="204"/>
    </font>
    <font>
      <sz val="14"/>
      <name val="Times New Roman"/>
      <family val="1"/>
      <charset val="204"/>
    </font>
    <font>
      <b/>
      <sz val="12"/>
      <name val="Times New Roman"/>
      <family val="1"/>
      <charset val="204"/>
    </font>
    <font>
      <b/>
      <sz val="16"/>
      <name val="Times New Roman"/>
      <family val="1"/>
      <charset val="204"/>
    </font>
    <font>
      <sz val="16"/>
      <name val="Times New Roman"/>
      <family val="1"/>
      <charset val="204"/>
    </font>
    <font>
      <b/>
      <sz val="18"/>
      <name val="Times New Roman"/>
      <family val="1"/>
      <charset val="204"/>
    </font>
    <font>
      <sz val="16"/>
      <name val="Arial Cyr"/>
      <family val="2"/>
      <charset val="204"/>
    </font>
    <font>
      <sz val="12"/>
      <name val="Arial Cyr"/>
      <family val="2"/>
      <charset val="204"/>
    </font>
    <font>
      <b/>
      <sz val="22"/>
      <name val="Times New Roman"/>
      <family val="1"/>
      <charset val="204"/>
    </font>
    <font>
      <sz val="22"/>
      <name val="Times New Roman"/>
      <family val="1"/>
      <charset val="204"/>
    </font>
    <font>
      <vertAlign val="superscript"/>
      <sz val="22"/>
      <name val="Times New Roman"/>
      <family val="1"/>
      <charset val="204"/>
    </font>
    <font>
      <sz val="22"/>
      <color indexed="8"/>
      <name val="Times New Roman"/>
      <family val="1"/>
      <charset val="204"/>
    </font>
    <font>
      <b/>
      <sz val="22"/>
      <color indexed="8"/>
      <name val="Times New Roman"/>
      <family val="1"/>
      <charset val="204"/>
    </font>
    <font>
      <b/>
      <sz val="24"/>
      <name val="Times New Roman"/>
      <family val="1"/>
      <charset val="204"/>
    </font>
    <font>
      <sz val="24"/>
      <name val="Times New Roman"/>
      <family val="1"/>
      <charset val="204"/>
    </font>
    <font>
      <sz val="22"/>
      <name val="Arial Cyr"/>
      <family val="2"/>
      <charset val="204"/>
    </font>
    <font>
      <sz val="22"/>
      <name val="Arial Narrow"/>
      <family val="2"/>
      <charset val="204"/>
    </font>
    <font>
      <b/>
      <sz val="22"/>
      <name val="Arial Narrow"/>
      <family val="2"/>
      <charset val="204"/>
    </font>
    <font>
      <sz val="8"/>
      <name val="Arial Cyr"/>
      <charset val="204"/>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163">
    <xf numFmtId="0" fontId="0" fillId="0" borderId="0" xfId="0"/>
    <xf numFmtId="3" fontId="13" fillId="0" borderId="1" xfId="0" applyNumberFormat="1" applyFont="1" applyFill="1" applyBorder="1" applyAlignment="1" applyProtection="1">
      <alignment horizontal="center" vertical="center" wrapText="1"/>
    </xf>
    <xf numFmtId="0" fontId="7" fillId="0" borderId="0" xfId="0" applyFont="1" applyFill="1" applyAlignment="1" applyProtection="1">
      <alignment horizontal="center" vertical="justify" wrapText="1"/>
      <protection locked="0"/>
    </xf>
    <xf numFmtId="0" fontId="4" fillId="0" borderId="2" xfId="0"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3" fontId="13" fillId="0" borderId="0" xfId="0" applyNumberFormat="1" applyFont="1" applyFill="1" applyBorder="1" applyAlignment="1" applyProtection="1">
      <alignment horizontal="center" vertical="center" wrapText="1"/>
      <protection locked="0"/>
    </xf>
    <xf numFmtId="0" fontId="3" fillId="0" borderId="0" xfId="0" applyFont="1" applyFill="1" applyBorder="1" applyAlignment="1" applyProtection="1">
      <alignment vertical="justify"/>
      <protection locked="0"/>
    </xf>
    <xf numFmtId="0" fontId="3" fillId="0" borderId="0" xfId="0" applyFont="1" applyFill="1" applyAlignment="1" applyProtection="1">
      <alignment vertical="justify"/>
      <protection locked="0"/>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justify" wrapText="1"/>
      <protection locked="0"/>
    </xf>
    <xf numFmtId="1" fontId="13" fillId="0" borderId="1" xfId="0" applyNumberFormat="1" applyFont="1" applyFill="1" applyBorder="1" applyAlignment="1" applyProtection="1">
      <alignment horizontal="left" vertical="center" wrapText="1"/>
      <protection locked="0"/>
    </xf>
    <xf numFmtId="49" fontId="14"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4" fillId="0" borderId="3" xfId="0" applyNumberFormat="1" applyFont="1" applyFill="1" applyBorder="1" applyAlignment="1" applyProtection="1">
      <alignment horizontal="left" vertical="center" wrapText="1"/>
      <protection locked="0"/>
    </xf>
    <xf numFmtId="49" fontId="14" fillId="0" borderId="1" xfId="0" applyNumberFormat="1" applyFont="1" applyFill="1" applyBorder="1" applyAlignment="1">
      <alignment horizontal="center" vertical="center" wrapText="1"/>
    </xf>
    <xf numFmtId="0" fontId="14" fillId="0" borderId="1" xfId="0" applyFont="1" applyFill="1" applyBorder="1" applyAlignment="1">
      <alignment horizontal="justify" wrapText="1"/>
    </xf>
    <xf numFmtId="0" fontId="14" fillId="0" borderId="2" xfId="0"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165" fontId="14" fillId="0" borderId="1" xfId="0" applyNumberFormat="1" applyFont="1" applyFill="1" applyBorder="1" applyAlignment="1" applyProtection="1">
      <alignment horizontal="left" vertical="center" wrapText="1"/>
      <protection locked="0"/>
    </xf>
    <xf numFmtId="49" fontId="14" fillId="0" borderId="3" xfId="0" applyNumberFormat="1" applyFont="1" applyFill="1" applyBorder="1" applyAlignment="1" applyProtection="1">
      <alignment horizontal="center" vertical="center" wrapText="1"/>
      <protection locked="0"/>
    </xf>
    <xf numFmtId="165" fontId="14" fillId="0" borderId="3" xfId="0" applyNumberFormat="1" applyFont="1" applyFill="1" applyBorder="1" applyAlignment="1" applyProtection="1">
      <alignment horizontal="center" vertical="center" wrapText="1"/>
      <protection locked="0"/>
    </xf>
    <xf numFmtId="0" fontId="14" fillId="0" borderId="3" xfId="0" applyFont="1" applyFill="1" applyBorder="1" applyAlignment="1">
      <alignment horizontal="left" vertical="center" wrapText="1"/>
    </xf>
    <xf numFmtId="49" fontId="14" fillId="0" borderId="2" xfId="0" applyNumberFormat="1"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14" fillId="0" borderId="1" xfId="0" applyFont="1" applyFill="1" applyBorder="1" applyAlignment="1">
      <alignment horizontal="left" wrapText="1"/>
    </xf>
    <xf numFmtId="0" fontId="14" fillId="0" borderId="1" xfId="0" applyFont="1" applyFill="1" applyBorder="1" applyAlignment="1" applyProtection="1">
      <alignment horizontal="center" vertical="justify" wrapText="1"/>
      <protection locked="0"/>
    </xf>
    <xf numFmtId="165"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vertical="justify" wrapText="1"/>
      <protection locked="0"/>
    </xf>
    <xf numFmtId="0" fontId="13" fillId="0" borderId="1" xfId="0" applyFont="1" applyFill="1" applyBorder="1" applyAlignment="1" applyProtection="1">
      <alignment vertical="justify" wrapText="1"/>
      <protection locked="0"/>
    </xf>
    <xf numFmtId="0" fontId="13" fillId="0" borderId="1" xfId="0" applyFont="1" applyFill="1" applyBorder="1" applyAlignment="1" applyProtection="1">
      <alignment horizontal="left" vertical="center" wrapText="1"/>
      <protection locked="0"/>
    </xf>
    <xf numFmtId="0" fontId="14" fillId="0" borderId="0" xfId="0" applyFont="1" applyFill="1" applyAlignment="1" applyProtection="1">
      <alignment vertical="center" wrapText="1"/>
      <protection locked="0"/>
    </xf>
    <xf numFmtId="0" fontId="14" fillId="0" borderId="2" xfId="0" applyFont="1" applyFill="1" applyBorder="1" applyAlignment="1">
      <alignment horizontal="left" vertical="center" wrapText="1"/>
    </xf>
    <xf numFmtId="0" fontId="14" fillId="0" borderId="1" xfId="0" applyNumberFormat="1" applyFont="1" applyFill="1" applyBorder="1" applyAlignment="1" applyProtection="1">
      <alignment horizontal="left"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4" fillId="0" borderId="0" xfId="0" applyFont="1" applyFill="1" applyAlignment="1">
      <alignment vertical="center" wrapText="1"/>
    </xf>
    <xf numFmtId="1" fontId="14" fillId="0" borderId="1" xfId="0" applyNumberFormat="1" applyFont="1" applyFill="1" applyBorder="1" applyAlignment="1" applyProtection="1">
      <alignment horizontal="center" vertical="center" wrapText="1"/>
      <protection locked="0"/>
    </xf>
    <xf numFmtId="1" fontId="14" fillId="0" borderId="1" xfId="0" applyNumberFormat="1" applyFont="1" applyFill="1" applyBorder="1" applyAlignment="1" applyProtection="1">
      <alignment vertical="justify" wrapText="1"/>
      <protection locked="0"/>
    </xf>
    <xf numFmtId="1" fontId="14" fillId="0" borderId="1" xfId="0" applyNumberFormat="1" applyFont="1" applyFill="1" applyBorder="1" applyAlignment="1" applyProtection="1">
      <alignment horizontal="left" vertical="center" wrapText="1"/>
      <protection locked="0"/>
    </xf>
    <xf numFmtId="49" fontId="14" fillId="0" borderId="1" xfId="0" applyNumberFormat="1" applyFont="1" applyFill="1" applyBorder="1" applyAlignment="1">
      <alignment horizontal="center" wrapText="1"/>
    </xf>
    <xf numFmtId="0" fontId="14" fillId="0" borderId="1" xfId="0" applyFont="1" applyFill="1" applyBorder="1" applyAlignment="1">
      <alignment wrapText="1"/>
    </xf>
    <xf numFmtId="0" fontId="14" fillId="0" borderId="1" xfId="0" applyFont="1" applyFill="1" applyBorder="1" applyAlignment="1">
      <alignment vertical="center" wrapText="1"/>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right" vertical="center" wrapText="1"/>
      <protection locked="0"/>
    </xf>
    <xf numFmtId="3" fontId="13" fillId="0" borderId="1" xfId="0" applyNumberFormat="1" applyFont="1" applyFill="1" applyBorder="1" applyAlignment="1" applyProtection="1">
      <alignment vertical="center" wrapText="1"/>
    </xf>
    <xf numFmtId="0" fontId="2" fillId="0" borderId="0" xfId="0" applyFont="1" applyFill="1" applyAlignment="1" applyProtection="1">
      <alignment vertical="justify" wrapText="1"/>
      <protection locked="0"/>
    </xf>
    <xf numFmtId="0" fontId="11" fillId="0" borderId="0" xfId="0" applyFont="1" applyFill="1" applyAlignment="1" applyProtection="1">
      <alignment vertical="justify" wrapText="1"/>
      <protection locked="0"/>
    </xf>
    <xf numFmtId="4" fontId="11" fillId="0" borderId="0" xfId="0" applyNumberFormat="1" applyFont="1" applyFill="1" applyAlignment="1" applyProtection="1">
      <alignment vertical="justify" wrapText="1"/>
      <protection locked="0"/>
    </xf>
    <xf numFmtId="0" fontId="4" fillId="0" borderId="0" xfId="0" applyFont="1" applyFill="1" applyAlignment="1" applyProtection="1">
      <alignment vertical="justify" wrapText="1"/>
      <protection locked="0"/>
    </xf>
    <xf numFmtId="0" fontId="9" fillId="0" borderId="0" xfId="0" applyFont="1" applyFill="1" applyAlignment="1" applyProtection="1">
      <alignment vertical="justify" wrapText="1"/>
      <protection locked="0"/>
    </xf>
    <xf numFmtId="4" fontId="9" fillId="0" borderId="0" xfId="0" applyNumberFormat="1" applyFont="1" applyFill="1" applyAlignment="1" applyProtection="1">
      <alignment vertical="justify" wrapText="1"/>
      <protection locked="0"/>
    </xf>
    <xf numFmtId="0" fontId="4" fillId="0" borderId="0" xfId="0" applyFont="1" applyFill="1" applyAlignment="1" applyProtection="1">
      <alignment horizontal="left" vertical="center" wrapText="1"/>
      <protection locked="0"/>
    </xf>
    <xf numFmtId="0" fontId="4" fillId="0" borderId="0" xfId="0" applyFont="1" applyFill="1" applyBorder="1" applyAlignment="1" applyProtection="1">
      <alignment horizontal="center" vertical="top" wrapText="1"/>
      <protection locked="0"/>
    </xf>
    <xf numFmtId="0" fontId="9" fillId="0" borderId="4"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4"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3" fontId="13" fillId="0" borderId="1" xfId="0" applyNumberFormat="1" applyFont="1" applyFill="1" applyBorder="1" applyAlignment="1" applyProtection="1">
      <alignment horizontal="right" vertical="center" wrapText="1"/>
    </xf>
    <xf numFmtId="1" fontId="7" fillId="0" borderId="0" xfId="0" applyNumberFormat="1" applyFont="1" applyFill="1" applyAlignment="1" applyProtection="1">
      <alignment vertical="justify" wrapText="1"/>
      <protection locked="0"/>
    </xf>
    <xf numFmtId="4" fontId="8" fillId="0" borderId="0" xfId="0" applyNumberFormat="1" applyFont="1" applyFill="1" applyAlignment="1" applyProtection="1">
      <alignment vertical="justify" wrapText="1"/>
      <protection locked="0"/>
    </xf>
    <xf numFmtId="1" fontId="14" fillId="0" borderId="1" xfId="0" applyNumberFormat="1" applyFont="1" applyFill="1" applyBorder="1" applyAlignment="1" applyProtection="1">
      <alignment vertical="center" wrapText="1"/>
      <protection locked="0"/>
    </xf>
    <xf numFmtId="1" fontId="4" fillId="0" borderId="0" xfId="0" applyNumberFormat="1" applyFont="1" applyFill="1" applyAlignment="1" applyProtection="1">
      <alignment vertical="justify" wrapText="1"/>
      <protection locked="0"/>
    </xf>
    <xf numFmtId="1" fontId="14" fillId="0" borderId="3" xfId="0" applyNumberFormat="1" applyFont="1" applyFill="1" applyBorder="1" applyAlignment="1" applyProtection="1">
      <alignment vertical="center" wrapText="1"/>
      <protection locked="0"/>
    </xf>
    <xf numFmtId="3" fontId="13" fillId="0" borderId="3" xfId="0" applyNumberFormat="1" applyFont="1" applyFill="1" applyBorder="1" applyAlignment="1" applyProtection="1">
      <alignment horizontal="center" vertical="center" wrapText="1"/>
    </xf>
    <xf numFmtId="0" fontId="14" fillId="0" borderId="2" xfId="0" applyFont="1" applyFill="1" applyBorder="1" applyAlignment="1" applyProtection="1">
      <alignment vertical="center" wrapText="1"/>
      <protection locked="0"/>
    </xf>
    <xf numFmtId="3" fontId="13" fillId="0" borderId="2" xfId="0" applyNumberFormat="1" applyFont="1" applyFill="1" applyBorder="1" applyAlignment="1" applyProtection="1">
      <alignment horizontal="center" vertical="center" wrapText="1"/>
    </xf>
    <xf numFmtId="0" fontId="14" fillId="0" borderId="1" xfId="0" applyFont="1" applyFill="1" applyBorder="1" applyAlignment="1" applyProtection="1">
      <alignment vertical="center" wrapText="1"/>
      <protection locked="0"/>
    </xf>
    <xf numFmtId="0" fontId="14" fillId="0" borderId="6" xfId="0" applyFont="1" applyFill="1" applyBorder="1" applyAlignment="1" applyProtection="1">
      <alignment vertical="justify" wrapText="1"/>
      <protection locked="0"/>
    </xf>
    <xf numFmtId="0" fontId="16" fillId="0" borderId="1" xfId="0" applyFont="1" applyFill="1" applyBorder="1" applyAlignment="1">
      <alignment vertical="center" wrapText="1"/>
    </xf>
    <xf numFmtId="0" fontId="7" fillId="0" borderId="0" xfId="0" applyFont="1" applyFill="1" applyAlignment="1" applyProtection="1">
      <alignment vertical="justify" wrapText="1"/>
      <protection locked="0"/>
    </xf>
    <xf numFmtId="0" fontId="14" fillId="0" borderId="3" xfId="0" applyFont="1" applyFill="1" applyBorder="1" applyAlignment="1" applyProtection="1">
      <alignment vertical="center" wrapText="1"/>
      <protection locked="0"/>
    </xf>
    <xf numFmtId="0" fontId="14" fillId="0" borderId="2" xfId="0" applyFont="1" applyFill="1" applyBorder="1" applyAlignment="1" applyProtection="1">
      <alignment vertical="justify" wrapText="1"/>
      <protection locked="0"/>
    </xf>
    <xf numFmtId="0" fontId="14" fillId="0" borderId="1" xfId="0" applyNumberFormat="1" applyFont="1" applyFill="1" applyBorder="1" applyAlignment="1" applyProtection="1">
      <alignment vertical="justify" wrapText="1"/>
      <protection locked="0"/>
    </xf>
    <xf numFmtId="0" fontId="4" fillId="0" borderId="0" xfId="0" applyFont="1" applyFill="1" applyAlignment="1" applyProtection="1">
      <alignment horizontal="center" vertical="justify" wrapText="1"/>
      <protection locked="0"/>
    </xf>
    <xf numFmtId="4" fontId="9" fillId="0" borderId="0" xfId="0" applyNumberFormat="1" applyFont="1" applyFill="1" applyAlignment="1" applyProtection="1">
      <alignment horizontal="center" vertical="justify" wrapText="1"/>
      <protection locked="0"/>
    </xf>
    <xf numFmtId="3" fontId="17" fillId="0" borderId="1" xfId="0" applyNumberFormat="1" applyFont="1" applyFill="1" applyBorder="1" applyAlignment="1" applyProtection="1">
      <alignment vertical="center" wrapText="1"/>
    </xf>
    <xf numFmtId="0" fontId="14" fillId="0" borderId="6" xfId="0" applyFont="1" applyFill="1" applyBorder="1" applyAlignment="1" applyProtection="1">
      <alignment vertical="center" wrapText="1"/>
      <protection locked="0"/>
    </xf>
    <xf numFmtId="0" fontId="5" fillId="0" borderId="0" xfId="0" applyFont="1" applyFill="1" applyAlignment="1" applyProtection="1">
      <alignment vertical="justify" wrapText="1"/>
      <protection locked="0"/>
    </xf>
    <xf numFmtId="0" fontId="7"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3" fontId="13" fillId="0" borderId="0" xfId="0" applyNumberFormat="1"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protection locked="0"/>
    </xf>
    <xf numFmtId="3" fontId="7" fillId="0" borderId="0" xfId="0" applyNumberFormat="1" applyFont="1"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left" vertical="center" wrapText="1"/>
      <protection locked="0"/>
    </xf>
    <xf numFmtId="0" fontId="7" fillId="0" borderId="0" xfId="0" applyFont="1" applyFill="1" applyAlignment="1" applyProtection="1">
      <alignment vertical="justify"/>
      <protection locked="0"/>
    </xf>
    <xf numFmtId="4" fontId="8" fillId="0" borderId="0" xfId="0" applyNumberFormat="1" applyFont="1" applyFill="1" applyAlignment="1" applyProtection="1">
      <alignment vertical="justify"/>
      <protection locked="0"/>
    </xf>
    <xf numFmtId="0" fontId="2" fillId="0" borderId="0" xfId="0" applyFont="1" applyFill="1" applyBorder="1" applyAlignment="1" applyProtection="1">
      <alignment vertical="justify"/>
      <protection locked="0"/>
    </xf>
    <xf numFmtId="0" fontId="11" fillId="0" borderId="0" xfId="0" applyFont="1" applyFill="1" applyBorder="1" applyAlignment="1" applyProtection="1">
      <alignment vertical="justify"/>
      <protection locked="0"/>
    </xf>
    <xf numFmtId="0" fontId="12"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vertical="justify" wrapText="1"/>
      <protection locked="0"/>
    </xf>
    <xf numFmtId="0" fontId="2" fillId="0" borderId="0" xfId="0" applyFont="1" applyFill="1" applyAlignment="1" applyProtection="1">
      <alignment vertical="justify"/>
      <protection locked="0"/>
    </xf>
    <xf numFmtId="4" fontId="11" fillId="0" borderId="0" xfId="0" applyNumberFormat="1" applyFont="1" applyFill="1" applyAlignment="1" applyProtection="1">
      <alignment vertical="justify"/>
      <protection locked="0"/>
    </xf>
    <xf numFmtId="0" fontId="11" fillId="0" borderId="0" xfId="0" applyFont="1" applyFill="1" applyAlignment="1" applyProtection="1">
      <alignment vertical="justify"/>
      <protection locked="0"/>
    </xf>
    <xf numFmtId="0" fontId="12" fillId="0" borderId="0" xfId="0" applyFont="1" applyFill="1" applyAlignment="1" applyProtection="1">
      <alignment horizontal="left" vertical="center" wrapText="1"/>
      <protection locked="0"/>
    </xf>
    <xf numFmtId="0" fontId="3" fillId="0" borderId="0" xfId="0" applyFont="1" applyFill="1" applyAlignment="1" applyProtection="1">
      <alignment vertical="justify" wrapText="1"/>
      <protection locked="0"/>
    </xf>
    <xf numFmtId="0" fontId="14" fillId="0" borderId="1" xfId="0" applyFont="1" applyFill="1" applyBorder="1" applyAlignment="1">
      <alignment horizontal="justify" vertical="center" wrapText="1"/>
    </xf>
    <xf numFmtId="0" fontId="19" fillId="0" borderId="0" xfId="0" applyFont="1" applyFill="1" applyAlignment="1" applyProtection="1">
      <alignment horizontal="left" vertical="center" wrapText="1"/>
      <protection locked="0"/>
    </xf>
    <xf numFmtId="0" fontId="20" fillId="0" borderId="0" xfId="0" applyFont="1" applyFill="1" applyAlignment="1" applyProtection="1">
      <alignment horizontal="left" vertical="center" wrapText="1"/>
      <protection locked="0"/>
    </xf>
    <xf numFmtId="0" fontId="21" fillId="0" borderId="0" xfId="0" applyFont="1" applyFill="1" applyAlignment="1" applyProtection="1">
      <alignment vertical="justify" wrapText="1"/>
      <protection locked="0"/>
    </xf>
    <xf numFmtId="3" fontId="21" fillId="0" borderId="0" xfId="0" applyNumberFormat="1" applyFont="1" applyFill="1" applyAlignment="1" applyProtection="1">
      <alignment vertical="justify" wrapText="1"/>
      <protection locked="0"/>
    </xf>
    <xf numFmtId="0" fontId="14" fillId="0" borderId="0" xfId="0" applyFont="1" applyFill="1" applyAlignment="1" applyProtection="1">
      <alignment horizontal="left" vertical="center" wrapText="1"/>
      <protection locked="0"/>
    </xf>
    <xf numFmtId="4" fontId="13" fillId="0"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right" vertical="center" wrapText="1"/>
    </xf>
    <xf numFmtId="4" fontId="13" fillId="0" borderId="2" xfId="0" applyNumberFormat="1" applyFont="1" applyFill="1" applyBorder="1" applyAlignment="1" applyProtection="1">
      <alignment horizontal="center" vertical="center" wrapText="1"/>
    </xf>
    <xf numFmtId="0" fontId="9" fillId="0" borderId="7" xfId="0" applyFont="1" applyFill="1" applyBorder="1" applyAlignment="1" applyProtection="1">
      <alignment horizontal="center" vertical="center" wrapText="1"/>
      <protection locked="0"/>
    </xf>
    <xf numFmtId="0" fontId="9" fillId="0" borderId="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justify" wrapText="1"/>
      <protection locked="0"/>
    </xf>
    <xf numFmtId="0" fontId="13" fillId="0" borderId="0" xfId="0" applyFont="1" applyFill="1" applyAlignment="1" applyProtection="1">
      <alignment horizontal="center" vertical="center" wrapText="1"/>
      <protection locked="0"/>
    </xf>
    <xf numFmtId="3" fontId="13" fillId="0" borderId="0" xfId="0" applyNumberFormat="1" applyFont="1" applyFill="1" applyAlignment="1" applyProtection="1">
      <alignment horizontal="center" vertical="center" wrapText="1"/>
      <protection locked="0"/>
    </xf>
    <xf numFmtId="4" fontId="13" fillId="0" borderId="0" xfId="0" applyNumberFormat="1" applyFont="1" applyFill="1" applyAlignment="1" applyProtection="1">
      <alignment horizontal="center" vertical="center" wrapText="1"/>
      <protection locked="0"/>
    </xf>
    <xf numFmtId="1" fontId="13" fillId="0" borderId="0" xfId="0" applyNumberFormat="1" applyFont="1" applyFill="1" applyAlignment="1" applyProtection="1">
      <alignment vertical="justify" wrapText="1"/>
      <protection locked="0"/>
    </xf>
    <xf numFmtId="3" fontId="13" fillId="0" borderId="1" xfId="0" applyNumberFormat="1" applyFont="1" applyFill="1" applyBorder="1" applyAlignment="1" applyProtection="1">
      <alignment vertical="center" wrapText="1"/>
      <protection locked="0"/>
    </xf>
    <xf numFmtId="1" fontId="14" fillId="0" borderId="0" xfId="0" applyNumberFormat="1" applyFont="1" applyFill="1" applyAlignment="1" applyProtection="1">
      <alignment vertical="justify" wrapText="1"/>
      <protection locked="0"/>
    </xf>
    <xf numFmtId="4" fontId="13" fillId="0" borderId="1" xfId="0" applyNumberFormat="1" applyFont="1" applyFill="1" applyBorder="1" applyAlignment="1" applyProtection="1">
      <alignment vertical="center" wrapText="1"/>
    </xf>
    <xf numFmtId="3" fontId="13" fillId="0" borderId="1" xfId="1" applyNumberFormat="1" applyFont="1" applyFill="1" applyBorder="1" applyAlignment="1" applyProtection="1">
      <alignment vertical="center" wrapText="1"/>
      <protection locked="0"/>
    </xf>
    <xf numFmtId="1" fontId="13" fillId="0" borderId="1" xfId="1" applyNumberFormat="1" applyFont="1" applyFill="1" applyBorder="1" applyAlignment="1" applyProtection="1">
      <alignment vertical="center" wrapText="1"/>
      <protection locked="0"/>
    </xf>
    <xf numFmtId="0" fontId="14" fillId="0" borderId="0" xfId="0" applyFont="1" applyFill="1" applyAlignment="1" applyProtection="1">
      <alignment vertical="justify" wrapText="1"/>
      <protection locked="0"/>
    </xf>
    <xf numFmtId="3" fontId="13" fillId="0" borderId="3" xfId="0" applyNumberFormat="1" applyFont="1" applyFill="1" applyBorder="1" applyAlignment="1" applyProtection="1">
      <alignment horizontal="center" vertical="center" wrapText="1"/>
      <protection locked="0"/>
    </xf>
    <xf numFmtId="3" fontId="13" fillId="0" borderId="2" xfId="0" applyNumberFormat="1" applyFont="1" applyFill="1" applyBorder="1" applyAlignment="1" applyProtection="1">
      <alignment horizontal="center" vertical="center" wrapText="1"/>
      <protection locked="0"/>
    </xf>
    <xf numFmtId="3" fontId="13" fillId="0" borderId="3" xfId="0" applyNumberFormat="1" applyFont="1" applyFill="1" applyBorder="1" applyAlignment="1" applyProtection="1">
      <alignment vertical="center" wrapText="1"/>
    </xf>
    <xf numFmtId="3" fontId="13" fillId="0" borderId="3" xfId="0" applyNumberFormat="1" applyFont="1" applyFill="1" applyBorder="1" applyAlignment="1" applyProtection="1">
      <alignment vertical="center" wrapText="1"/>
      <protection locked="0"/>
    </xf>
    <xf numFmtId="0" fontId="13" fillId="0" borderId="0" xfId="0" applyFont="1" applyFill="1" applyAlignment="1" applyProtection="1">
      <alignment vertical="justify" wrapText="1"/>
      <protection locked="0"/>
    </xf>
    <xf numFmtId="4" fontId="13" fillId="0" borderId="1" xfId="0" applyNumberFormat="1" applyFont="1" applyFill="1" applyBorder="1" applyAlignment="1" applyProtection="1">
      <alignment vertical="center" wrapText="1"/>
      <protection locked="0"/>
    </xf>
    <xf numFmtId="3" fontId="13" fillId="0" borderId="1" xfId="0" applyNumberFormat="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justify" wrapText="1"/>
      <protection locked="0"/>
    </xf>
    <xf numFmtId="3" fontId="13" fillId="0" borderId="1" xfId="0" applyNumberFormat="1" applyFont="1" applyFill="1" applyBorder="1" applyAlignment="1" applyProtection="1">
      <alignment horizontal="right" vertical="center" wrapText="1"/>
      <protection locked="0"/>
    </xf>
    <xf numFmtId="166" fontId="13" fillId="0" borderId="1" xfId="0" applyNumberFormat="1" applyFont="1" applyFill="1" applyBorder="1" applyAlignment="1" applyProtection="1">
      <alignment vertical="center" wrapText="1"/>
    </xf>
    <xf numFmtId="165" fontId="14" fillId="0" borderId="0" xfId="0" applyNumberFormat="1" applyFont="1" applyFill="1" applyBorder="1" applyAlignment="1" applyProtection="1">
      <alignment horizontal="left" vertical="center" wrapText="1"/>
      <protection locked="0"/>
    </xf>
    <xf numFmtId="3" fontId="14" fillId="0" borderId="1" xfId="0" applyNumberFormat="1" applyFont="1" applyFill="1" applyBorder="1" applyAlignment="1" applyProtection="1">
      <alignment vertical="center" wrapText="1"/>
    </xf>
    <xf numFmtId="0" fontId="13" fillId="0" borderId="0" xfId="0" applyFont="1" applyFill="1" applyBorder="1" applyAlignment="1" applyProtection="1">
      <alignment horizontal="center"/>
      <protection locked="0"/>
    </xf>
    <xf numFmtId="0" fontId="9" fillId="0" borderId="9" xfId="0" applyFont="1" applyFill="1" applyBorder="1" applyAlignment="1" applyProtection="1">
      <alignment horizontal="center" vertical="justify" wrapText="1"/>
      <protection locked="0"/>
    </xf>
    <xf numFmtId="0" fontId="8" fillId="0" borderId="9"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5" fillId="0" borderId="9" xfId="0" applyFont="1" applyFill="1" applyBorder="1" applyAlignment="1" applyProtection="1">
      <alignment horizontal="center" vertical="center" wrapText="1"/>
      <protection locked="0"/>
    </xf>
    <xf numFmtId="0" fontId="8" fillId="0" borderId="10" xfId="0" applyFont="1" applyFill="1" applyBorder="1" applyAlignment="1" applyProtection="1">
      <alignment horizontal="center" vertical="justify" wrapText="1"/>
      <protection locked="0"/>
    </xf>
    <xf numFmtId="0" fontId="8" fillId="0" borderId="11" xfId="0" applyFont="1" applyFill="1" applyBorder="1" applyAlignment="1" applyProtection="1">
      <alignment horizontal="center" vertical="justify" wrapText="1"/>
      <protection locked="0"/>
    </xf>
    <xf numFmtId="0" fontId="8" fillId="0" borderId="12" xfId="0" applyFont="1" applyFill="1" applyBorder="1" applyAlignment="1" applyProtection="1">
      <alignment horizontal="center" vertical="justify" wrapText="1"/>
      <protection locked="0"/>
    </xf>
    <xf numFmtId="0" fontId="8" fillId="0" borderId="4"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0" fontId="8" fillId="0" borderId="4" xfId="0" applyFont="1" applyFill="1" applyBorder="1" applyAlignment="1" applyProtection="1">
      <alignment vertical="center" wrapText="1"/>
      <protection locked="0"/>
    </xf>
    <xf numFmtId="0" fontId="8" fillId="0" borderId="7" xfId="0" applyFont="1" applyFill="1" applyBorder="1" applyAlignment="1" applyProtection="1">
      <alignment vertical="center" wrapText="1"/>
      <protection locked="0"/>
    </xf>
    <xf numFmtId="0" fontId="8" fillId="0" borderId="8" xfId="0" applyFont="1" applyFill="1" applyBorder="1" applyAlignment="1" applyProtection="1">
      <alignment vertical="center" wrapText="1"/>
      <protection locked="0"/>
    </xf>
    <xf numFmtId="0" fontId="9" fillId="0" borderId="9"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justify" wrapText="1"/>
      <protection locked="0"/>
    </xf>
    <xf numFmtId="0" fontId="18" fillId="0" borderId="0" xfId="0" applyFont="1" applyFill="1" applyAlignment="1" applyProtection="1">
      <alignment horizontal="left" vertical="justify" wrapText="1"/>
      <protection locked="0"/>
    </xf>
    <xf numFmtId="0" fontId="19" fillId="0" borderId="0" xfId="0" applyFont="1" applyFill="1" applyAlignment="1" applyProtection="1">
      <alignment horizontal="center" vertical="justify" wrapText="1"/>
      <protection locked="0"/>
    </xf>
    <xf numFmtId="0" fontId="9" fillId="0" borderId="7" xfId="0" applyFont="1" applyFill="1" applyBorder="1" applyAlignment="1" applyProtection="1">
      <alignment horizontal="center" vertical="center" wrapText="1"/>
      <protection locked="0"/>
    </xf>
    <xf numFmtId="0" fontId="9" fillId="0" borderId="8" xfId="0" applyFont="1" applyFill="1" applyBorder="1" applyAlignment="1" applyProtection="1">
      <alignment horizontal="center" vertical="center" wrapText="1"/>
      <protection locked="0"/>
    </xf>
    <xf numFmtId="0" fontId="22" fillId="0" borderId="0" xfId="0" applyFont="1" applyFill="1" applyAlignment="1" applyProtection="1">
      <alignment horizontal="center" vertical="justify" wrapText="1"/>
      <protection locked="0"/>
    </xf>
    <xf numFmtId="0" fontId="13" fillId="0" borderId="0" xfId="0" applyFont="1" applyFill="1" applyAlignment="1" applyProtection="1">
      <alignment horizontal="center" vertical="justify" wrapText="1"/>
      <protection locked="0"/>
    </xf>
    <xf numFmtId="0" fontId="14" fillId="0" borderId="0" xfId="0" applyFont="1" applyFill="1" applyAlignment="1" applyProtection="1">
      <alignment horizontal="center"/>
      <protection locked="0"/>
    </xf>
    <xf numFmtId="0" fontId="13" fillId="0" borderId="0" xfId="0" applyFont="1" applyFill="1" applyAlignment="1" applyProtection="1">
      <alignment horizontal="left" vertical="justify" wrapText="1"/>
      <protection locked="0"/>
    </xf>
    <xf numFmtId="0" fontId="14" fillId="0" borderId="0" xfId="0" applyFont="1" applyFill="1" applyBorder="1" applyAlignment="1" applyProtection="1">
      <alignment horizontal="center" vertical="top"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183"/>
  <sheetViews>
    <sheetView tabSelected="1" view="pageBreakPreview" zoomScale="40" zoomScaleNormal="60" zoomScaleSheetLayoutView="40" workbookViewId="0">
      <pane xSplit="6" ySplit="10" topLeftCell="P172" activePane="bottomRight" state="frozen"/>
      <selection pane="topRight" activeCell="G1" sqref="G1"/>
      <selection pane="bottomLeft" activeCell="A11" sqref="A11"/>
      <selection pane="bottomRight" activeCell="P4" sqref="P4:S4"/>
    </sheetView>
  </sheetViews>
  <sheetFormatPr defaultColWidth="9.109375" defaultRowHeight="24.75" customHeight="1"/>
  <cols>
    <col min="1" max="1" width="19" style="94" customWidth="1"/>
    <col min="2" max="2" width="16.88671875" style="96" customWidth="1"/>
    <col min="3" max="3" width="19" style="94" customWidth="1"/>
    <col min="4" max="4" width="15.88671875" style="94" customWidth="1"/>
    <col min="5" max="5" width="89" style="97" customWidth="1"/>
    <col min="6" max="6" width="2.6640625" style="98" hidden="1" customWidth="1"/>
    <col min="7" max="7" width="29.6640625" style="7" customWidth="1"/>
    <col min="8" max="8" width="31" style="7" customWidth="1"/>
    <col min="9" max="9" width="29.5546875" style="7" customWidth="1"/>
    <col min="10" max="10" width="23.109375" style="7" customWidth="1"/>
    <col min="11" max="11" width="20.88671875" style="7" customWidth="1"/>
    <col min="12" max="12" width="29.5546875" style="7" customWidth="1"/>
    <col min="13" max="13" width="23.88671875" style="7" customWidth="1"/>
    <col min="14" max="14" width="16.88671875" style="7" customWidth="1"/>
    <col min="15" max="15" width="20.88671875" style="7" customWidth="1"/>
    <col min="16" max="16" width="29.44140625" style="7" customWidth="1"/>
    <col min="17" max="17" width="28.44140625" style="7" customWidth="1"/>
    <col min="18" max="18" width="28.88671875" style="7" customWidth="1"/>
    <col min="19" max="19" width="32.6640625" style="7" customWidth="1"/>
    <col min="20" max="20" width="9.109375" style="94"/>
    <col min="21" max="21" width="17.44140625" style="94" customWidth="1"/>
    <col min="22" max="22" width="23.6640625" style="95" customWidth="1"/>
    <col min="23" max="16384" width="9.109375" style="94"/>
  </cols>
  <sheetData>
    <row r="1" spans="1:22" s="46" customFormat="1" ht="23.25" customHeight="1">
      <c r="B1" s="47"/>
      <c r="E1" s="101"/>
      <c r="F1" s="102"/>
      <c r="G1" s="102"/>
      <c r="H1" s="103"/>
      <c r="I1" s="102"/>
      <c r="J1" s="102"/>
      <c r="K1" s="102"/>
      <c r="L1" s="102"/>
      <c r="M1" s="102"/>
      <c r="N1" s="102"/>
      <c r="O1" s="102"/>
      <c r="P1" s="158" t="s">
        <v>179</v>
      </c>
      <c r="Q1" s="158"/>
      <c r="R1" s="158"/>
      <c r="S1" s="158"/>
      <c r="V1" s="48"/>
    </row>
    <row r="2" spans="1:22" s="49" customFormat="1" ht="28.5" customHeight="1">
      <c r="B2" s="50"/>
      <c r="E2" s="159" t="s">
        <v>178</v>
      </c>
      <c r="F2" s="159"/>
      <c r="G2" s="159"/>
      <c r="H2" s="159"/>
      <c r="I2" s="159"/>
      <c r="J2" s="159"/>
      <c r="K2" s="159"/>
      <c r="L2" s="159"/>
      <c r="M2" s="159"/>
      <c r="N2" s="159"/>
      <c r="O2" s="160" t="s">
        <v>494</v>
      </c>
      <c r="P2" s="160"/>
      <c r="Q2" s="160"/>
      <c r="R2" s="160"/>
      <c r="S2" s="160"/>
      <c r="V2" s="51"/>
    </row>
    <row r="3" spans="1:22" s="49" customFormat="1" ht="30.75" customHeight="1">
      <c r="B3" s="50"/>
      <c r="E3" s="104"/>
      <c r="F3" s="161" t="s">
        <v>180</v>
      </c>
      <c r="G3" s="161"/>
      <c r="H3" s="161"/>
      <c r="I3" s="161"/>
      <c r="J3" s="161"/>
      <c r="K3" s="161"/>
      <c r="L3" s="161"/>
      <c r="M3" s="161"/>
      <c r="N3" s="161"/>
      <c r="O3" s="161"/>
      <c r="P3" s="162" t="s">
        <v>497</v>
      </c>
      <c r="Q3" s="162"/>
      <c r="R3" s="162"/>
      <c r="S3" s="162"/>
      <c r="V3" s="51"/>
    </row>
    <row r="4" spans="1:22" s="49" customFormat="1" ht="29.25" customHeight="1">
      <c r="B4" s="50"/>
      <c r="E4" s="100"/>
      <c r="F4" s="154" t="s">
        <v>177</v>
      </c>
      <c r="G4" s="154"/>
      <c r="H4" s="154"/>
      <c r="I4" s="154"/>
      <c r="J4" s="154"/>
      <c r="K4" s="154"/>
      <c r="L4" s="154"/>
      <c r="M4" s="154"/>
      <c r="N4" s="154"/>
      <c r="O4" s="154"/>
      <c r="P4" s="155"/>
      <c r="Q4" s="155"/>
      <c r="R4" s="155"/>
      <c r="S4" s="155"/>
      <c r="V4" s="51"/>
    </row>
    <row r="5" spans="1:22" s="49" customFormat="1" ht="3.75" customHeight="1">
      <c r="B5" s="50"/>
      <c r="E5" s="52"/>
      <c r="F5" s="2"/>
      <c r="G5" s="2"/>
      <c r="H5" s="2"/>
      <c r="I5" s="2"/>
      <c r="J5" s="2"/>
      <c r="K5" s="2"/>
      <c r="L5" s="2"/>
      <c r="M5" s="2"/>
      <c r="N5" s="2"/>
      <c r="O5" s="2"/>
      <c r="P5" s="53"/>
      <c r="Q5" s="53"/>
      <c r="R5" s="53"/>
      <c r="S5" s="53"/>
      <c r="V5" s="51"/>
    </row>
    <row r="6" spans="1:22" s="49" customFormat="1" ht="20.25" customHeight="1">
      <c r="A6" s="136" t="s">
        <v>394</v>
      </c>
      <c r="B6" s="54"/>
      <c r="C6" s="136" t="s">
        <v>465</v>
      </c>
      <c r="D6" s="136" t="s">
        <v>125</v>
      </c>
      <c r="E6" s="146" t="s">
        <v>149</v>
      </c>
      <c r="F6" s="139" t="s">
        <v>91</v>
      </c>
      <c r="G6" s="153" t="s">
        <v>0</v>
      </c>
      <c r="H6" s="153"/>
      <c r="I6" s="153"/>
      <c r="J6" s="153"/>
      <c r="K6" s="110"/>
      <c r="L6" s="140" t="s">
        <v>2</v>
      </c>
      <c r="M6" s="141"/>
      <c r="N6" s="141"/>
      <c r="O6" s="141"/>
      <c r="P6" s="141"/>
      <c r="Q6" s="141"/>
      <c r="R6" s="142"/>
      <c r="S6" s="146" t="s">
        <v>3</v>
      </c>
      <c r="V6" s="51"/>
    </row>
    <row r="7" spans="1:22" s="49" customFormat="1" ht="22.5" customHeight="1">
      <c r="A7" s="137"/>
      <c r="B7" s="108"/>
      <c r="C7" s="137"/>
      <c r="D7" s="137"/>
      <c r="E7" s="147"/>
      <c r="F7" s="139"/>
      <c r="G7" s="135" t="s">
        <v>1</v>
      </c>
      <c r="H7" s="143" t="s">
        <v>76</v>
      </c>
      <c r="I7" s="134" t="s">
        <v>43</v>
      </c>
      <c r="J7" s="134"/>
      <c r="K7" s="143" t="s">
        <v>77</v>
      </c>
      <c r="L7" s="135" t="s">
        <v>1</v>
      </c>
      <c r="M7" s="149" t="s">
        <v>78</v>
      </c>
      <c r="N7" s="152" t="s">
        <v>43</v>
      </c>
      <c r="O7" s="152"/>
      <c r="P7" s="135" t="s">
        <v>79</v>
      </c>
      <c r="Q7" s="134" t="s">
        <v>43</v>
      </c>
      <c r="R7" s="134"/>
      <c r="S7" s="147"/>
      <c r="V7" s="51"/>
    </row>
    <row r="8" spans="1:22" s="49" customFormat="1" ht="16.5" customHeight="1">
      <c r="A8" s="137"/>
      <c r="B8" s="108"/>
      <c r="C8" s="137"/>
      <c r="D8" s="137"/>
      <c r="E8" s="147"/>
      <c r="F8" s="139"/>
      <c r="G8" s="135"/>
      <c r="H8" s="144"/>
      <c r="I8" s="135" t="s">
        <v>86</v>
      </c>
      <c r="J8" s="135" t="s">
        <v>38</v>
      </c>
      <c r="K8" s="144"/>
      <c r="L8" s="135"/>
      <c r="M8" s="150"/>
      <c r="N8" s="135" t="s">
        <v>44</v>
      </c>
      <c r="O8" s="135" t="s">
        <v>38</v>
      </c>
      <c r="P8" s="135"/>
      <c r="Q8" s="144" t="s">
        <v>45</v>
      </c>
      <c r="R8" s="156" t="s">
        <v>92</v>
      </c>
      <c r="S8" s="147"/>
      <c r="V8" s="51"/>
    </row>
    <row r="9" spans="1:22" s="49" customFormat="1" ht="192" customHeight="1">
      <c r="A9" s="138"/>
      <c r="B9" s="109" t="s">
        <v>206</v>
      </c>
      <c r="C9" s="138"/>
      <c r="D9" s="138"/>
      <c r="E9" s="148"/>
      <c r="F9" s="139"/>
      <c r="G9" s="135"/>
      <c r="H9" s="145"/>
      <c r="I9" s="135"/>
      <c r="J9" s="135"/>
      <c r="K9" s="145"/>
      <c r="L9" s="135"/>
      <c r="M9" s="151"/>
      <c r="N9" s="135"/>
      <c r="O9" s="135"/>
      <c r="P9" s="135"/>
      <c r="Q9" s="145"/>
      <c r="R9" s="157"/>
      <c r="S9" s="148"/>
      <c r="V9" s="51"/>
    </row>
    <row r="10" spans="1:22" s="57" customFormat="1" ht="15" customHeight="1">
      <c r="A10" s="55">
        <v>1</v>
      </c>
      <c r="B10" s="54"/>
      <c r="C10" s="55">
        <v>2</v>
      </c>
      <c r="D10" s="55">
        <v>3</v>
      </c>
      <c r="E10" s="56">
        <v>4</v>
      </c>
      <c r="F10" s="3">
        <v>4</v>
      </c>
      <c r="G10" s="3">
        <v>5</v>
      </c>
      <c r="H10" s="3">
        <v>6</v>
      </c>
      <c r="I10" s="3">
        <v>7</v>
      </c>
      <c r="J10" s="3">
        <v>8</v>
      </c>
      <c r="K10" s="3">
        <v>9</v>
      </c>
      <c r="L10" s="3">
        <v>10</v>
      </c>
      <c r="M10" s="3">
        <v>11</v>
      </c>
      <c r="N10" s="3">
        <v>12</v>
      </c>
      <c r="O10" s="3">
        <v>13</v>
      </c>
      <c r="P10" s="3">
        <v>14</v>
      </c>
      <c r="Q10" s="3">
        <v>15</v>
      </c>
      <c r="R10" s="3">
        <v>16</v>
      </c>
      <c r="S10" s="3">
        <v>17</v>
      </c>
      <c r="V10" s="58"/>
    </row>
    <row r="11" spans="1:22" s="60" customFormat="1" ht="48" customHeight="1">
      <c r="A11" s="8" t="s">
        <v>217</v>
      </c>
      <c r="B11" s="8"/>
      <c r="C11" s="8" t="s">
        <v>126</v>
      </c>
      <c r="D11" s="9"/>
      <c r="E11" s="10" t="s">
        <v>195</v>
      </c>
      <c r="F11" s="9" t="s">
        <v>4</v>
      </c>
      <c r="G11" s="105">
        <f>G12</f>
        <v>115599932.69999997</v>
      </c>
      <c r="H11" s="105">
        <f>H12</f>
        <v>115599932.69999997</v>
      </c>
      <c r="I11" s="1">
        <f t="shared" ref="I11:R11" si="0">I12</f>
        <v>19458840</v>
      </c>
      <c r="J11" s="1">
        <f t="shared" si="0"/>
        <v>745080</v>
      </c>
      <c r="K11" s="1">
        <f t="shared" si="0"/>
        <v>0</v>
      </c>
      <c r="L11" s="105">
        <f t="shared" si="0"/>
        <v>5161423</v>
      </c>
      <c r="M11" s="1">
        <f t="shared" si="0"/>
        <v>2601144</v>
      </c>
      <c r="N11" s="1">
        <f t="shared" si="0"/>
        <v>0</v>
      </c>
      <c r="O11" s="1">
        <f t="shared" si="0"/>
        <v>0</v>
      </c>
      <c r="P11" s="1">
        <f t="shared" si="0"/>
        <v>2560279</v>
      </c>
      <c r="Q11" s="1">
        <f t="shared" si="0"/>
        <v>2520279</v>
      </c>
      <c r="R11" s="1">
        <f t="shared" si="0"/>
        <v>2520279</v>
      </c>
      <c r="S11" s="106">
        <f>G11+L11</f>
        <v>120761355.69999997</v>
      </c>
      <c r="T11" s="114"/>
      <c r="V11" s="61"/>
    </row>
    <row r="12" spans="1:22" s="60" customFormat="1" ht="48" customHeight="1">
      <c r="A12" s="8" t="s">
        <v>218</v>
      </c>
      <c r="B12" s="8"/>
      <c r="C12" s="8" t="s">
        <v>194</v>
      </c>
      <c r="D12" s="9"/>
      <c r="E12" s="10" t="s">
        <v>195</v>
      </c>
      <c r="F12" s="9"/>
      <c r="G12" s="105">
        <f>SUM(G13:G50)-G16-G21-G24-G26-G28-G30-G32-G34-G23</f>
        <v>115599932.69999997</v>
      </c>
      <c r="H12" s="105">
        <f>SUM(H13:H50)-H16-H21-H24-H26-H28-H30-H32-H34-H23</f>
        <v>115599932.69999997</v>
      </c>
      <c r="I12" s="1">
        <f t="shared" ref="I12:R12" si="1">SUM(I13:I50)-I16-I21-I24-I26-I28-I30-I32-I34</f>
        <v>19458840</v>
      </c>
      <c r="J12" s="1">
        <f t="shared" si="1"/>
        <v>745080</v>
      </c>
      <c r="K12" s="1">
        <f t="shared" si="1"/>
        <v>0</v>
      </c>
      <c r="L12" s="105">
        <f t="shared" si="1"/>
        <v>5161423</v>
      </c>
      <c r="M12" s="1">
        <f t="shared" si="1"/>
        <v>2601144</v>
      </c>
      <c r="N12" s="1">
        <f t="shared" si="1"/>
        <v>0</v>
      </c>
      <c r="O12" s="1">
        <f t="shared" si="1"/>
        <v>0</v>
      </c>
      <c r="P12" s="1">
        <f t="shared" si="1"/>
        <v>2560279</v>
      </c>
      <c r="Q12" s="1">
        <f t="shared" si="1"/>
        <v>2520279</v>
      </c>
      <c r="R12" s="1">
        <f t="shared" si="1"/>
        <v>2520279</v>
      </c>
      <c r="S12" s="106">
        <f t="shared" ref="S12:S32" si="2">G12+L12</f>
        <v>120761355.69999997</v>
      </c>
      <c r="T12" s="114"/>
      <c r="V12" s="61"/>
    </row>
    <row r="13" spans="1:22" s="63" customFormat="1" ht="91.5" customHeight="1">
      <c r="A13" s="11" t="s">
        <v>219</v>
      </c>
      <c r="B13" s="11" t="s">
        <v>93</v>
      </c>
      <c r="C13" s="11" t="s">
        <v>220</v>
      </c>
      <c r="D13" s="11" t="s">
        <v>95</v>
      </c>
      <c r="E13" s="12" t="s">
        <v>356</v>
      </c>
      <c r="F13" s="62" t="s">
        <v>5</v>
      </c>
      <c r="G13" s="1">
        <f t="shared" ref="G13:G76" si="3">H13+K13</f>
        <v>19783316</v>
      </c>
      <c r="H13" s="45">
        <f>17971300+600000+88227+49339-16600-12950+1100000+4000</f>
        <v>19783316</v>
      </c>
      <c r="I13" s="115">
        <f>15867900+600000+1100000</f>
        <v>17567900</v>
      </c>
      <c r="J13" s="115">
        <v>599500</v>
      </c>
      <c r="K13" s="115"/>
      <c r="L13" s="1">
        <f t="shared" ref="L13:L36" si="4">M13+P13</f>
        <v>353750</v>
      </c>
      <c r="M13" s="45">
        <v>47200</v>
      </c>
      <c r="N13" s="45"/>
      <c r="O13" s="115"/>
      <c r="P13" s="115">
        <f>265000+12000+16600+12950</f>
        <v>306550</v>
      </c>
      <c r="Q13" s="115">
        <f>P13</f>
        <v>306550</v>
      </c>
      <c r="R13" s="115">
        <f>Q13</f>
        <v>306550</v>
      </c>
      <c r="S13" s="59">
        <f t="shared" si="2"/>
        <v>20137066</v>
      </c>
      <c r="T13" s="116"/>
      <c r="V13" s="51"/>
    </row>
    <row r="14" spans="1:22" s="63" customFormat="1" ht="66" customHeight="1">
      <c r="A14" s="11" t="s">
        <v>243</v>
      </c>
      <c r="B14" s="11" t="s">
        <v>316</v>
      </c>
      <c r="C14" s="19" t="s">
        <v>175</v>
      </c>
      <c r="D14" s="19" t="s">
        <v>106</v>
      </c>
      <c r="E14" s="13" t="s">
        <v>244</v>
      </c>
      <c r="F14" s="64"/>
      <c r="G14" s="65">
        <f t="shared" si="3"/>
        <v>590209</v>
      </c>
      <c r="H14" s="45">
        <f>590209</f>
        <v>590209</v>
      </c>
      <c r="I14" s="115"/>
      <c r="J14" s="115"/>
      <c r="K14" s="115"/>
      <c r="L14" s="1">
        <f t="shared" si="4"/>
        <v>155946</v>
      </c>
      <c r="M14" s="45"/>
      <c r="N14" s="45"/>
      <c r="O14" s="115"/>
      <c r="P14" s="115">
        <f>41846+95000+19100</f>
        <v>155946</v>
      </c>
      <c r="Q14" s="115">
        <f>P14</f>
        <v>155946</v>
      </c>
      <c r="R14" s="115">
        <f>Q14</f>
        <v>155946</v>
      </c>
      <c r="S14" s="59">
        <f t="shared" si="2"/>
        <v>746155</v>
      </c>
      <c r="T14" s="116"/>
      <c r="V14" s="51"/>
    </row>
    <row r="15" spans="1:22" s="60" customFormat="1" ht="59.25" customHeight="1">
      <c r="A15" s="11" t="s">
        <v>221</v>
      </c>
      <c r="B15" s="11" t="s">
        <v>205</v>
      </c>
      <c r="C15" s="11" t="s">
        <v>127</v>
      </c>
      <c r="D15" s="14" t="s">
        <v>96</v>
      </c>
      <c r="E15" s="15" t="s">
        <v>150</v>
      </c>
      <c r="F15" s="15" t="s">
        <v>94</v>
      </c>
      <c r="G15" s="105">
        <f t="shared" si="3"/>
        <v>48382349.189999998</v>
      </c>
      <c r="H15" s="117">
        <f>47483410+1551.19+36100+130000+400000+35000+100000+3000+52611+9450-50000+61227+28000+90000+2000</f>
        <v>48382349.189999998</v>
      </c>
      <c r="I15" s="115"/>
      <c r="J15" s="115"/>
      <c r="K15" s="115"/>
      <c r="L15" s="1">
        <f t="shared" si="4"/>
        <v>1495330</v>
      </c>
      <c r="M15" s="45">
        <f>830000</f>
        <v>830000</v>
      </c>
      <c r="N15" s="45"/>
      <c r="O15" s="115"/>
      <c r="P15" s="118">
        <f>40000+299449+325000-52611+7050-18558+65000</f>
        <v>665330</v>
      </c>
      <c r="Q15" s="115">
        <f>299449+325000-52611+7050-18558+65000</f>
        <v>625330</v>
      </c>
      <c r="R15" s="115">
        <f>Q15</f>
        <v>625330</v>
      </c>
      <c r="S15" s="106">
        <f t="shared" si="2"/>
        <v>49877679.189999998</v>
      </c>
      <c r="T15" s="114"/>
      <c r="V15" s="61"/>
    </row>
    <row r="16" spans="1:22" s="60" customFormat="1" ht="44.25" customHeight="1">
      <c r="A16" s="11" t="s">
        <v>221</v>
      </c>
      <c r="B16" s="11" t="s">
        <v>205</v>
      </c>
      <c r="C16" s="22" t="s">
        <v>127</v>
      </c>
      <c r="D16" s="22" t="s">
        <v>96</v>
      </c>
      <c r="E16" s="16" t="s">
        <v>182</v>
      </c>
      <c r="F16" s="66" t="s">
        <v>81</v>
      </c>
      <c r="G16" s="107">
        <f t="shared" si="3"/>
        <v>30764826.190000001</v>
      </c>
      <c r="H16" s="117">
        <f>30763275+1551.19</f>
        <v>30764826.190000001</v>
      </c>
      <c r="I16" s="115"/>
      <c r="J16" s="115"/>
      <c r="K16" s="115"/>
      <c r="L16" s="1">
        <f t="shared" si="4"/>
        <v>0</v>
      </c>
      <c r="M16" s="45"/>
      <c r="N16" s="45"/>
      <c r="O16" s="115"/>
      <c r="P16" s="119"/>
      <c r="Q16" s="115"/>
      <c r="R16" s="115"/>
      <c r="S16" s="106">
        <f t="shared" si="2"/>
        <v>30764826.190000001</v>
      </c>
      <c r="T16" s="114"/>
      <c r="V16" s="61"/>
    </row>
    <row r="17" spans="1:22" s="60" customFormat="1" ht="66" customHeight="1">
      <c r="A17" s="11" t="s">
        <v>222</v>
      </c>
      <c r="B17" s="11" t="s">
        <v>205</v>
      </c>
      <c r="C17" s="11" t="s">
        <v>189</v>
      </c>
      <c r="D17" s="11" t="s">
        <v>99</v>
      </c>
      <c r="E17" s="17" t="s">
        <v>185</v>
      </c>
      <c r="F17" s="68"/>
      <c r="G17" s="1">
        <f t="shared" si="3"/>
        <v>58558</v>
      </c>
      <c r="H17" s="45">
        <f>40000+18558</f>
        <v>58558</v>
      </c>
      <c r="I17" s="115"/>
      <c r="J17" s="115"/>
      <c r="K17" s="115"/>
      <c r="L17" s="1">
        <f t="shared" si="4"/>
        <v>0</v>
      </c>
      <c r="M17" s="45"/>
      <c r="N17" s="45"/>
      <c r="O17" s="115"/>
      <c r="P17" s="119"/>
      <c r="Q17" s="115"/>
      <c r="R17" s="115"/>
      <c r="S17" s="59">
        <f t="shared" si="2"/>
        <v>58558</v>
      </c>
      <c r="T17" s="114"/>
      <c r="V17" s="61"/>
    </row>
    <row r="18" spans="1:22" s="60" customFormat="1" ht="55.5" customHeight="1">
      <c r="A18" s="11" t="s">
        <v>223</v>
      </c>
      <c r="B18" s="11" t="s">
        <v>205</v>
      </c>
      <c r="C18" s="11" t="s">
        <v>190</v>
      </c>
      <c r="D18" s="11" t="s">
        <v>99</v>
      </c>
      <c r="E18" s="17" t="s">
        <v>184</v>
      </c>
      <c r="F18" s="68"/>
      <c r="G18" s="1">
        <f t="shared" si="3"/>
        <v>0</v>
      </c>
      <c r="H18" s="45">
        <v>0</v>
      </c>
      <c r="I18" s="115"/>
      <c r="J18" s="115"/>
      <c r="K18" s="115"/>
      <c r="L18" s="1">
        <f t="shared" si="4"/>
        <v>0</v>
      </c>
      <c r="M18" s="45"/>
      <c r="N18" s="45"/>
      <c r="O18" s="115"/>
      <c r="P18" s="119"/>
      <c r="Q18" s="115"/>
      <c r="R18" s="115"/>
      <c r="S18" s="59">
        <f t="shared" si="2"/>
        <v>0</v>
      </c>
      <c r="T18" s="114"/>
      <c r="V18" s="61"/>
    </row>
    <row r="19" spans="1:22" s="60" customFormat="1" ht="91.5" customHeight="1">
      <c r="A19" s="11" t="s">
        <v>224</v>
      </c>
      <c r="B19" s="11" t="s">
        <v>475</v>
      </c>
      <c r="C19" s="11" t="s">
        <v>191</v>
      </c>
      <c r="D19" s="11" t="s">
        <v>99</v>
      </c>
      <c r="E19" s="17" t="s">
        <v>186</v>
      </c>
      <c r="F19" s="68"/>
      <c r="G19" s="1">
        <f t="shared" si="3"/>
        <v>48000</v>
      </c>
      <c r="H19" s="45">
        <v>48000</v>
      </c>
      <c r="I19" s="115"/>
      <c r="J19" s="115"/>
      <c r="K19" s="115"/>
      <c r="L19" s="1">
        <f t="shared" si="4"/>
        <v>0</v>
      </c>
      <c r="M19" s="45"/>
      <c r="N19" s="45"/>
      <c r="O19" s="115"/>
      <c r="P19" s="119"/>
      <c r="Q19" s="115"/>
      <c r="R19" s="115"/>
      <c r="S19" s="59">
        <f t="shared" si="2"/>
        <v>48000</v>
      </c>
      <c r="T19" s="114"/>
      <c r="V19" s="61"/>
    </row>
    <row r="20" spans="1:22" s="60" customFormat="1" ht="42.75" customHeight="1">
      <c r="A20" s="11" t="s">
        <v>225</v>
      </c>
      <c r="B20" s="11" t="s">
        <v>207</v>
      </c>
      <c r="C20" s="11" t="s">
        <v>192</v>
      </c>
      <c r="D20" s="11" t="s">
        <v>98</v>
      </c>
      <c r="E20" s="17" t="s">
        <v>183</v>
      </c>
      <c r="F20" s="68"/>
      <c r="G20" s="1">
        <f t="shared" si="3"/>
        <v>4258265</v>
      </c>
      <c r="H20" s="45">
        <f>4198265+18000+42000</f>
        <v>4258265</v>
      </c>
      <c r="I20" s="115"/>
      <c r="J20" s="115"/>
      <c r="K20" s="115"/>
      <c r="L20" s="1">
        <f t="shared" si="4"/>
        <v>1816558</v>
      </c>
      <c r="M20" s="45">
        <v>1417700</v>
      </c>
      <c r="N20" s="45"/>
      <c r="O20" s="115"/>
      <c r="P20" s="119">
        <v>398858</v>
      </c>
      <c r="Q20" s="115">
        <f>P20</f>
        <v>398858</v>
      </c>
      <c r="R20" s="115">
        <f>Q20</f>
        <v>398858</v>
      </c>
      <c r="S20" s="59">
        <f t="shared" si="2"/>
        <v>6074823</v>
      </c>
      <c r="T20" s="114"/>
      <c r="V20" s="61"/>
    </row>
    <row r="21" spans="1:22" s="60" customFormat="1" ht="42.75" customHeight="1">
      <c r="A21" s="11" t="s">
        <v>225</v>
      </c>
      <c r="B21" s="11" t="s">
        <v>207</v>
      </c>
      <c r="C21" s="11" t="s">
        <v>192</v>
      </c>
      <c r="D21" s="11" t="s">
        <v>98</v>
      </c>
      <c r="E21" s="17" t="s">
        <v>81</v>
      </c>
      <c r="F21" s="68"/>
      <c r="G21" s="1">
        <f t="shared" si="3"/>
        <v>3711045</v>
      </c>
      <c r="H21" s="45">
        <v>3711045</v>
      </c>
      <c r="I21" s="115"/>
      <c r="J21" s="115"/>
      <c r="K21" s="115"/>
      <c r="L21" s="1">
        <f t="shared" si="4"/>
        <v>0</v>
      </c>
      <c r="M21" s="45"/>
      <c r="N21" s="45"/>
      <c r="O21" s="115"/>
      <c r="P21" s="119"/>
      <c r="Q21" s="115"/>
      <c r="R21" s="115"/>
      <c r="S21" s="59">
        <f t="shared" si="2"/>
        <v>3711045</v>
      </c>
      <c r="T21" s="114"/>
      <c r="V21" s="61"/>
    </row>
    <row r="22" spans="1:22" s="60" customFormat="1" ht="66.75" customHeight="1">
      <c r="A22" s="11" t="s">
        <v>226</v>
      </c>
      <c r="B22" s="11" t="s">
        <v>208</v>
      </c>
      <c r="C22" s="11" t="s">
        <v>193</v>
      </c>
      <c r="D22" s="11" t="s">
        <v>97</v>
      </c>
      <c r="E22" s="18" t="s">
        <v>151</v>
      </c>
      <c r="F22" s="68" t="s">
        <v>87</v>
      </c>
      <c r="G22" s="1">
        <f>H22+K22</f>
        <v>17990145</v>
      </c>
      <c r="H22" s="45">
        <f>17616200+110000+150000+30000+6000+50000+200000-200000+27945</f>
        <v>17990145</v>
      </c>
      <c r="I22" s="115"/>
      <c r="J22" s="115"/>
      <c r="K22" s="115"/>
      <c r="L22" s="1">
        <f t="shared" si="4"/>
        <v>609055</v>
      </c>
      <c r="M22" s="45">
        <v>123000</v>
      </c>
      <c r="N22" s="45"/>
      <c r="O22" s="115"/>
      <c r="P22" s="115">
        <f>314000+200000-27945</f>
        <v>486055</v>
      </c>
      <c r="Q22" s="115">
        <f>P22</f>
        <v>486055</v>
      </c>
      <c r="R22" s="115">
        <f>Q22</f>
        <v>486055</v>
      </c>
      <c r="S22" s="59">
        <f t="shared" si="2"/>
        <v>18599200</v>
      </c>
      <c r="T22" s="114"/>
      <c r="V22" s="61"/>
    </row>
    <row r="23" spans="1:22" s="60" customFormat="1" ht="65.25" customHeight="1">
      <c r="A23" s="11" t="s">
        <v>226</v>
      </c>
      <c r="B23" s="11" t="s">
        <v>208</v>
      </c>
      <c r="C23" s="11" t="s">
        <v>193</v>
      </c>
      <c r="D23" s="11" t="s">
        <v>97</v>
      </c>
      <c r="E23" s="18" t="s">
        <v>469</v>
      </c>
      <c r="F23" s="68"/>
      <c r="G23" s="1">
        <f>H23</f>
        <v>260000</v>
      </c>
      <c r="H23" s="45">
        <f>110000+150000</f>
        <v>260000</v>
      </c>
      <c r="I23" s="115"/>
      <c r="J23" s="115"/>
      <c r="K23" s="115"/>
      <c r="L23" s="1">
        <f t="shared" si="4"/>
        <v>0</v>
      </c>
      <c r="M23" s="45"/>
      <c r="N23" s="45"/>
      <c r="O23" s="115"/>
      <c r="P23" s="115"/>
      <c r="Q23" s="115"/>
      <c r="R23" s="115"/>
      <c r="S23" s="59">
        <f t="shared" si="2"/>
        <v>260000</v>
      </c>
      <c r="T23" s="114"/>
      <c r="V23" s="61"/>
    </row>
    <row r="24" spans="1:22" s="60" customFormat="1" ht="54" customHeight="1">
      <c r="A24" s="11" t="s">
        <v>226</v>
      </c>
      <c r="B24" s="11" t="s">
        <v>208</v>
      </c>
      <c r="C24" s="11" t="s">
        <v>193</v>
      </c>
      <c r="D24" s="11" t="s">
        <v>97</v>
      </c>
      <c r="E24" s="17" t="s">
        <v>81</v>
      </c>
      <c r="F24" s="68" t="s">
        <v>81</v>
      </c>
      <c r="G24" s="1">
        <f t="shared" si="3"/>
        <v>11766800</v>
      </c>
      <c r="H24" s="45">
        <v>11766800</v>
      </c>
      <c r="I24" s="115"/>
      <c r="J24" s="115"/>
      <c r="K24" s="115"/>
      <c r="L24" s="1">
        <f t="shared" si="4"/>
        <v>0</v>
      </c>
      <c r="M24" s="45"/>
      <c r="N24" s="45"/>
      <c r="O24" s="115"/>
      <c r="P24" s="115"/>
      <c r="Q24" s="115"/>
      <c r="R24" s="115"/>
      <c r="S24" s="59">
        <f t="shared" si="2"/>
        <v>11766800</v>
      </c>
      <c r="T24" s="114"/>
      <c r="V24" s="61"/>
    </row>
    <row r="25" spans="1:22" s="60" customFormat="1" ht="95.25" customHeight="1">
      <c r="A25" s="11" t="s">
        <v>378</v>
      </c>
      <c r="B25" s="11" t="s">
        <v>376</v>
      </c>
      <c r="C25" s="11" t="s">
        <v>377</v>
      </c>
      <c r="D25" s="11" t="s">
        <v>381</v>
      </c>
      <c r="E25" s="17" t="s">
        <v>380</v>
      </c>
      <c r="F25" s="68"/>
      <c r="G25" s="105">
        <f t="shared" si="3"/>
        <v>14752246.279999999</v>
      </c>
      <c r="H25" s="117">
        <f>9726000+1446.28+23800+4750500+246500+4000</f>
        <v>14752246.279999999</v>
      </c>
      <c r="I25" s="115"/>
      <c r="J25" s="115"/>
      <c r="K25" s="115"/>
      <c r="L25" s="1">
        <f t="shared" si="4"/>
        <v>156800</v>
      </c>
      <c r="M25" s="45">
        <v>13800</v>
      </c>
      <c r="N25" s="45"/>
      <c r="O25" s="115"/>
      <c r="P25" s="115">
        <f>50000+93000</f>
        <v>143000</v>
      </c>
      <c r="Q25" s="115">
        <f>P25</f>
        <v>143000</v>
      </c>
      <c r="R25" s="115">
        <f>Q25</f>
        <v>143000</v>
      </c>
      <c r="S25" s="106">
        <f t="shared" si="2"/>
        <v>14909046.279999999</v>
      </c>
      <c r="T25" s="114"/>
      <c r="V25" s="61"/>
    </row>
    <row r="26" spans="1:22" s="60" customFormat="1" ht="54" customHeight="1">
      <c r="A26" s="11" t="s">
        <v>378</v>
      </c>
      <c r="B26" s="11" t="s">
        <v>376</v>
      </c>
      <c r="C26" s="11" t="s">
        <v>379</v>
      </c>
      <c r="D26" s="11" t="s">
        <v>381</v>
      </c>
      <c r="E26" s="17" t="s">
        <v>81</v>
      </c>
      <c r="F26" s="68"/>
      <c r="G26" s="105">
        <f t="shared" si="3"/>
        <v>14252946.279999999</v>
      </c>
      <c r="H26" s="117">
        <v>14252946.279999999</v>
      </c>
      <c r="I26" s="115"/>
      <c r="J26" s="115"/>
      <c r="K26" s="115"/>
      <c r="L26" s="1">
        <f t="shared" si="4"/>
        <v>0</v>
      </c>
      <c r="M26" s="45"/>
      <c r="N26" s="45"/>
      <c r="O26" s="115"/>
      <c r="P26" s="115"/>
      <c r="Q26" s="115"/>
      <c r="R26" s="115"/>
      <c r="S26" s="106">
        <f t="shared" si="2"/>
        <v>14252946.279999999</v>
      </c>
      <c r="T26" s="114"/>
      <c r="V26" s="61"/>
    </row>
    <row r="27" spans="1:22" s="60" customFormat="1" ht="63.75" customHeight="1">
      <c r="A27" s="11" t="s">
        <v>418</v>
      </c>
      <c r="B27" s="11"/>
      <c r="C27" s="11"/>
      <c r="D27" s="11" t="s">
        <v>99</v>
      </c>
      <c r="E27" s="17" t="s">
        <v>429</v>
      </c>
      <c r="F27" s="68"/>
      <c r="G27" s="1">
        <f t="shared" si="3"/>
        <v>1554300</v>
      </c>
      <c r="H27" s="45">
        <f>H28</f>
        <v>1554300</v>
      </c>
      <c r="I27" s="115"/>
      <c r="J27" s="115"/>
      <c r="K27" s="115"/>
      <c r="L27" s="1">
        <f t="shared" si="4"/>
        <v>0</v>
      </c>
      <c r="M27" s="45"/>
      <c r="N27" s="45"/>
      <c r="O27" s="115"/>
      <c r="P27" s="115"/>
      <c r="Q27" s="115"/>
      <c r="R27" s="115"/>
      <c r="S27" s="59">
        <f t="shared" si="2"/>
        <v>1554300</v>
      </c>
      <c r="T27" s="114"/>
      <c r="V27" s="61"/>
    </row>
    <row r="28" spans="1:22" s="60" customFormat="1" ht="45" customHeight="1">
      <c r="A28" s="11" t="s">
        <v>418</v>
      </c>
      <c r="B28" s="11"/>
      <c r="C28" s="11"/>
      <c r="D28" s="11" t="s">
        <v>99</v>
      </c>
      <c r="E28" s="17" t="s">
        <v>383</v>
      </c>
      <c r="F28" s="68"/>
      <c r="G28" s="1">
        <f t="shared" si="3"/>
        <v>1554300</v>
      </c>
      <c r="H28" s="45">
        <f>1529300+25000</f>
        <v>1554300</v>
      </c>
      <c r="I28" s="115"/>
      <c r="J28" s="115"/>
      <c r="K28" s="115"/>
      <c r="L28" s="1">
        <f t="shared" si="4"/>
        <v>0</v>
      </c>
      <c r="M28" s="45"/>
      <c r="N28" s="45"/>
      <c r="O28" s="115"/>
      <c r="P28" s="115"/>
      <c r="Q28" s="115"/>
      <c r="R28" s="115"/>
      <c r="S28" s="59">
        <f t="shared" si="2"/>
        <v>1554300</v>
      </c>
      <c r="T28" s="114"/>
      <c r="V28" s="61"/>
    </row>
    <row r="29" spans="1:22" s="60" customFormat="1" ht="63.75" customHeight="1">
      <c r="A29" s="11" t="s">
        <v>227</v>
      </c>
      <c r="B29" s="11" t="s">
        <v>209</v>
      </c>
      <c r="C29" s="11" t="s">
        <v>196</v>
      </c>
      <c r="D29" s="11" t="s">
        <v>99</v>
      </c>
      <c r="E29" s="17" t="s">
        <v>382</v>
      </c>
      <c r="F29" s="68"/>
      <c r="G29" s="105">
        <f t="shared" si="3"/>
        <v>2547907.23</v>
      </c>
      <c r="H29" s="117">
        <f>H30+850000+50000+260000</f>
        <v>2547907.23</v>
      </c>
      <c r="I29" s="115"/>
      <c r="J29" s="115"/>
      <c r="K29" s="115"/>
      <c r="L29" s="1">
        <f t="shared" si="4"/>
        <v>0</v>
      </c>
      <c r="M29" s="45"/>
      <c r="N29" s="45"/>
      <c r="O29" s="115"/>
      <c r="P29" s="115"/>
      <c r="Q29" s="115"/>
      <c r="R29" s="115"/>
      <c r="S29" s="106">
        <f t="shared" si="2"/>
        <v>2547907.23</v>
      </c>
      <c r="T29" s="114"/>
      <c r="V29" s="61"/>
    </row>
    <row r="30" spans="1:22" s="60" customFormat="1" ht="57.75" customHeight="1">
      <c r="A30" s="11" t="s">
        <v>227</v>
      </c>
      <c r="B30" s="11" t="s">
        <v>209</v>
      </c>
      <c r="C30" s="11" t="s">
        <v>196</v>
      </c>
      <c r="D30" s="11" t="s">
        <v>99</v>
      </c>
      <c r="E30" s="17" t="s">
        <v>383</v>
      </c>
      <c r="F30" s="68"/>
      <c r="G30" s="105">
        <f t="shared" si="3"/>
        <v>1387907.23</v>
      </c>
      <c r="H30" s="117">
        <f>1387700+207.23</f>
        <v>1387907.23</v>
      </c>
      <c r="I30" s="115"/>
      <c r="J30" s="115"/>
      <c r="K30" s="115"/>
      <c r="L30" s="1">
        <f t="shared" si="4"/>
        <v>0</v>
      </c>
      <c r="M30" s="45"/>
      <c r="N30" s="45"/>
      <c r="O30" s="115"/>
      <c r="P30" s="115"/>
      <c r="Q30" s="115"/>
      <c r="R30" s="115"/>
      <c r="S30" s="106">
        <f t="shared" si="2"/>
        <v>1387907.23</v>
      </c>
      <c r="T30" s="114"/>
      <c r="V30" s="61"/>
    </row>
    <row r="31" spans="1:22" s="60" customFormat="1" ht="72" customHeight="1">
      <c r="A31" s="11" t="s">
        <v>384</v>
      </c>
      <c r="B31" s="11" t="s">
        <v>386</v>
      </c>
      <c r="C31" s="11"/>
      <c r="D31" s="11" t="s">
        <v>99</v>
      </c>
      <c r="E31" s="18" t="s">
        <v>388</v>
      </c>
      <c r="F31" s="68"/>
      <c r="G31" s="1">
        <f t="shared" si="3"/>
        <v>1174525</v>
      </c>
      <c r="H31" s="45">
        <v>1174525</v>
      </c>
      <c r="I31" s="115"/>
      <c r="J31" s="115"/>
      <c r="K31" s="115"/>
      <c r="L31" s="1">
        <f t="shared" si="4"/>
        <v>0</v>
      </c>
      <c r="M31" s="45"/>
      <c r="N31" s="45"/>
      <c r="O31" s="115"/>
      <c r="P31" s="115"/>
      <c r="Q31" s="115"/>
      <c r="R31" s="115"/>
      <c r="S31" s="59">
        <f t="shared" si="2"/>
        <v>1174525</v>
      </c>
      <c r="T31" s="114"/>
      <c r="V31" s="61"/>
    </row>
    <row r="32" spans="1:22" s="60" customFormat="1" ht="33" customHeight="1">
      <c r="A32" s="11" t="s">
        <v>384</v>
      </c>
      <c r="B32" s="11"/>
      <c r="C32" s="11"/>
      <c r="D32" s="11" t="s">
        <v>99</v>
      </c>
      <c r="E32" s="18" t="s">
        <v>383</v>
      </c>
      <c r="F32" s="68"/>
      <c r="G32" s="1">
        <f t="shared" si="3"/>
        <v>1017780</v>
      </c>
      <c r="H32" s="45">
        <v>1017780</v>
      </c>
      <c r="I32" s="115"/>
      <c r="J32" s="115"/>
      <c r="K32" s="115"/>
      <c r="L32" s="1">
        <f t="shared" si="4"/>
        <v>0</v>
      </c>
      <c r="M32" s="45"/>
      <c r="N32" s="45"/>
      <c r="O32" s="115"/>
      <c r="P32" s="115"/>
      <c r="Q32" s="115"/>
      <c r="R32" s="115"/>
      <c r="S32" s="59">
        <f t="shared" si="2"/>
        <v>1017780</v>
      </c>
      <c r="T32" s="114"/>
      <c r="V32" s="61"/>
    </row>
    <row r="33" spans="1:22" s="60" customFormat="1" ht="66" customHeight="1">
      <c r="A33" s="11" t="s">
        <v>387</v>
      </c>
      <c r="B33" s="11" t="s">
        <v>385</v>
      </c>
      <c r="C33" s="11"/>
      <c r="D33" s="11" t="s">
        <v>99</v>
      </c>
      <c r="E33" s="18" t="s">
        <v>389</v>
      </c>
      <c r="F33" s="68"/>
      <c r="G33" s="1">
        <f t="shared" si="3"/>
        <v>288000</v>
      </c>
      <c r="H33" s="45">
        <f>18000+100000+150000+20000</f>
        <v>288000</v>
      </c>
      <c r="I33" s="115"/>
      <c r="J33" s="115"/>
      <c r="K33" s="115"/>
      <c r="L33" s="1">
        <f t="shared" si="4"/>
        <v>0</v>
      </c>
      <c r="M33" s="45"/>
      <c r="N33" s="45"/>
      <c r="O33" s="115"/>
      <c r="P33" s="115"/>
      <c r="Q33" s="115"/>
      <c r="R33" s="115"/>
      <c r="S33" s="59">
        <f>G33+L33</f>
        <v>288000</v>
      </c>
      <c r="T33" s="114"/>
      <c r="V33" s="61"/>
    </row>
    <row r="34" spans="1:22" s="60" customFormat="1" ht="28.5" customHeight="1">
      <c r="A34" s="11" t="s">
        <v>387</v>
      </c>
      <c r="B34" s="11"/>
      <c r="C34" s="11"/>
      <c r="D34" s="11" t="s">
        <v>99</v>
      </c>
      <c r="E34" s="18" t="s">
        <v>439</v>
      </c>
      <c r="F34" s="68"/>
      <c r="G34" s="1">
        <f>H34</f>
        <v>18000</v>
      </c>
      <c r="H34" s="45">
        <v>18000</v>
      </c>
      <c r="I34" s="115"/>
      <c r="J34" s="115"/>
      <c r="K34" s="115"/>
      <c r="L34" s="1">
        <f t="shared" si="4"/>
        <v>0</v>
      </c>
      <c r="M34" s="45"/>
      <c r="N34" s="45"/>
      <c r="O34" s="115"/>
      <c r="P34" s="115"/>
      <c r="Q34" s="115"/>
      <c r="R34" s="115"/>
      <c r="S34" s="59">
        <f>G34+L34</f>
        <v>18000</v>
      </c>
      <c r="T34" s="114"/>
      <c r="V34" s="61"/>
    </row>
    <row r="35" spans="1:22" s="49" customFormat="1" ht="66" customHeight="1">
      <c r="A35" s="11" t="s">
        <v>228</v>
      </c>
      <c r="B35" s="11" t="s">
        <v>210</v>
      </c>
      <c r="C35" s="11" t="s">
        <v>128</v>
      </c>
      <c r="D35" s="11" t="s">
        <v>101</v>
      </c>
      <c r="E35" s="18" t="s">
        <v>152</v>
      </c>
      <c r="F35" s="68" t="s">
        <v>64</v>
      </c>
      <c r="G35" s="1">
        <f t="shared" si="3"/>
        <v>30000</v>
      </c>
      <c r="H35" s="45">
        <v>30000</v>
      </c>
      <c r="I35" s="115"/>
      <c r="J35" s="115"/>
      <c r="K35" s="115"/>
      <c r="L35" s="1">
        <f t="shared" si="4"/>
        <v>0</v>
      </c>
      <c r="M35" s="45"/>
      <c r="N35" s="45"/>
      <c r="O35" s="115"/>
      <c r="P35" s="115"/>
      <c r="Q35" s="115"/>
      <c r="R35" s="115"/>
      <c r="S35" s="59">
        <f t="shared" ref="S35:S98" si="5">G35+L35</f>
        <v>30000</v>
      </c>
      <c r="T35" s="120"/>
      <c r="V35" s="51"/>
    </row>
    <row r="36" spans="1:22" s="49" customFormat="1" ht="65.400000000000006" customHeight="1">
      <c r="A36" s="19" t="s">
        <v>229</v>
      </c>
      <c r="B36" s="19" t="s">
        <v>459</v>
      </c>
      <c r="C36" s="20" t="s">
        <v>197</v>
      </c>
      <c r="D36" s="19" t="s">
        <v>101</v>
      </c>
      <c r="E36" s="21" t="s">
        <v>187</v>
      </c>
      <c r="F36" s="68" t="s">
        <v>57</v>
      </c>
      <c r="G36" s="65">
        <f t="shared" si="3"/>
        <v>2162000</v>
      </c>
      <c r="H36" s="65">
        <f>2122000+40000</f>
        <v>2162000</v>
      </c>
      <c r="I36" s="121">
        <v>1890940</v>
      </c>
      <c r="J36" s="121">
        <v>145580</v>
      </c>
      <c r="K36" s="121"/>
      <c r="L36" s="65">
        <f t="shared" si="4"/>
        <v>0</v>
      </c>
      <c r="M36" s="65"/>
      <c r="N36" s="65"/>
      <c r="O36" s="121"/>
      <c r="P36" s="121"/>
      <c r="Q36" s="121"/>
      <c r="R36" s="121"/>
      <c r="S36" s="59">
        <f t="shared" si="5"/>
        <v>2162000</v>
      </c>
      <c r="T36" s="120"/>
      <c r="V36" s="51"/>
    </row>
    <row r="37" spans="1:22" s="49" customFormat="1" ht="87.75" customHeight="1">
      <c r="A37" s="11" t="s">
        <v>230</v>
      </c>
      <c r="B37" s="11" t="s">
        <v>211</v>
      </c>
      <c r="C37" s="11">
        <v>313133</v>
      </c>
      <c r="D37" s="11" t="s">
        <v>101</v>
      </c>
      <c r="E37" s="23" t="s">
        <v>153</v>
      </c>
      <c r="F37" s="68"/>
      <c r="G37" s="67">
        <f>H37+K37</f>
        <v>3000</v>
      </c>
      <c r="H37" s="67">
        <v>3000</v>
      </c>
      <c r="I37" s="122"/>
      <c r="J37" s="122"/>
      <c r="K37" s="122"/>
      <c r="L37" s="67">
        <f>M37+P37</f>
        <v>0</v>
      </c>
      <c r="M37" s="67"/>
      <c r="N37" s="67"/>
      <c r="O37" s="122"/>
      <c r="P37" s="122"/>
      <c r="Q37" s="122"/>
      <c r="R37" s="122"/>
      <c r="S37" s="59">
        <f t="shared" si="5"/>
        <v>3000</v>
      </c>
      <c r="T37" s="120"/>
      <c r="V37" s="51"/>
    </row>
    <row r="38" spans="1:22" s="49" customFormat="1" ht="89.25" customHeight="1">
      <c r="A38" s="11" t="s">
        <v>231</v>
      </c>
      <c r="B38" s="11" t="s">
        <v>212</v>
      </c>
      <c r="C38" s="11" t="s">
        <v>198</v>
      </c>
      <c r="D38" s="11" t="s">
        <v>101</v>
      </c>
      <c r="E38" s="18" t="s">
        <v>188</v>
      </c>
      <c r="F38" s="68" t="s">
        <v>26</v>
      </c>
      <c r="G38" s="1">
        <f t="shared" si="3"/>
        <v>57000</v>
      </c>
      <c r="H38" s="45">
        <f>25000+20000+12000</f>
        <v>57000</v>
      </c>
      <c r="I38" s="115"/>
      <c r="J38" s="115"/>
      <c r="K38" s="115"/>
      <c r="L38" s="1">
        <f>M38+P38</f>
        <v>0</v>
      </c>
      <c r="M38" s="45"/>
      <c r="N38" s="45"/>
      <c r="O38" s="115"/>
      <c r="P38" s="115"/>
      <c r="Q38" s="115"/>
      <c r="R38" s="115"/>
      <c r="S38" s="59">
        <f t="shared" si="5"/>
        <v>57000</v>
      </c>
      <c r="T38" s="120"/>
      <c r="V38" s="51"/>
    </row>
    <row r="39" spans="1:22" s="49" customFormat="1" ht="33.6" hidden="1" customHeight="1">
      <c r="A39" s="11" t="s">
        <v>139</v>
      </c>
      <c r="B39" s="11"/>
      <c r="C39" s="11">
        <v>91209</v>
      </c>
      <c r="D39" s="11" t="s">
        <v>112</v>
      </c>
      <c r="E39" s="18" t="s">
        <v>154</v>
      </c>
      <c r="F39" s="27" t="s">
        <v>28</v>
      </c>
      <c r="G39" s="1">
        <f>H39+K39</f>
        <v>0</v>
      </c>
      <c r="H39" s="45"/>
      <c r="I39" s="115"/>
      <c r="J39" s="115"/>
      <c r="K39" s="115"/>
      <c r="L39" s="1">
        <f>M39+P39</f>
        <v>0</v>
      </c>
      <c r="M39" s="45"/>
      <c r="N39" s="45"/>
      <c r="O39" s="115"/>
      <c r="P39" s="115"/>
      <c r="Q39" s="115"/>
      <c r="R39" s="115"/>
      <c r="S39" s="59">
        <f t="shared" si="5"/>
        <v>0</v>
      </c>
      <c r="T39" s="120"/>
      <c r="V39" s="51"/>
    </row>
    <row r="40" spans="1:22" s="49" customFormat="1" ht="61.5" customHeight="1">
      <c r="A40" s="11" t="s">
        <v>390</v>
      </c>
      <c r="B40" s="11" t="s">
        <v>391</v>
      </c>
      <c r="C40" s="11" t="s">
        <v>199</v>
      </c>
      <c r="D40" s="11" t="s">
        <v>100</v>
      </c>
      <c r="E40" s="18" t="s">
        <v>392</v>
      </c>
      <c r="F40" s="27"/>
      <c r="G40" s="1">
        <f>H40+K40</f>
        <v>735340</v>
      </c>
      <c r="H40" s="45">
        <f>500000+62000+91200+53000+15940+8200+5000</f>
        <v>735340</v>
      </c>
      <c r="I40" s="115"/>
      <c r="J40" s="115"/>
      <c r="K40" s="115"/>
      <c r="L40" s="1">
        <f>M40+P40</f>
        <v>0</v>
      </c>
      <c r="M40" s="45"/>
      <c r="N40" s="45"/>
      <c r="O40" s="115"/>
      <c r="P40" s="115"/>
      <c r="Q40" s="115"/>
      <c r="R40" s="115"/>
      <c r="S40" s="59">
        <f t="shared" si="5"/>
        <v>735340</v>
      </c>
      <c r="T40" s="120"/>
      <c r="V40" s="51"/>
    </row>
    <row r="41" spans="1:22" s="49" customFormat="1" ht="117.75" customHeight="1">
      <c r="A41" s="11" t="s">
        <v>232</v>
      </c>
      <c r="B41" s="11" t="s">
        <v>214</v>
      </c>
      <c r="C41" s="11" t="s">
        <v>200</v>
      </c>
      <c r="D41" s="11" t="s">
        <v>102</v>
      </c>
      <c r="E41" s="23" t="s">
        <v>462</v>
      </c>
      <c r="F41" s="27" t="s">
        <v>37</v>
      </c>
      <c r="G41" s="1">
        <f t="shared" si="3"/>
        <v>50000</v>
      </c>
      <c r="H41" s="45">
        <v>50000</v>
      </c>
      <c r="I41" s="115"/>
      <c r="J41" s="115"/>
      <c r="K41" s="115"/>
      <c r="L41" s="1">
        <f>M41+P41</f>
        <v>0</v>
      </c>
      <c r="M41" s="45"/>
      <c r="N41" s="45"/>
      <c r="O41" s="115"/>
      <c r="P41" s="115"/>
      <c r="Q41" s="115"/>
      <c r="R41" s="115"/>
      <c r="S41" s="59">
        <f t="shared" si="5"/>
        <v>50000</v>
      </c>
      <c r="T41" s="120"/>
      <c r="V41" s="51"/>
    </row>
    <row r="42" spans="1:22" s="49" customFormat="1" ht="52.5" customHeight="1">
      <c r="A42" s="11" t="s">
        <v>233</v>
      </c>
      <c r="B42" s="11" t="s">
        <v>215</v>
      </c>
      <c r="C42" s="11" t="s">
        <v>129</v>
      </c>
      <c r="D42" s="11" t="s">
        <v>104</v>
      </c>
      <c r="E42" s="18" t="s">
        <v>203</v>
      </c>
      <c r="F42" s="69"/>
      <c r="G42" s="65">
        <f t="shared" si="3"/>
        <v>341772</v>
      </c>
      <c r="H42" s="123">
        <f>270000+80000-1000-7228</f>
        <v>341772</v>
      </c>
      <c r="I42" s="124"/>
      <c r="J42" s="124"/>
      <c r="K42" s="124"/>
      <c r="L42" s="65">
        <f t="shared" ref="L42:L48" si="6">M42+P42</f>
        <v>169444</v>
      </c>
      <c r="M42" s="123">
        <v>169444</v>
      </c>
      <c r="N42" s="123"/>
      <c r="O42" s="124"/>
      <c r="P42" s="124"/>
      <c r="Q42" s="124"/>
      <c r="R42" s="124"/>
      <c r="S42" s="59">
        <f t="shared" si="5"/>
        <v>511216</v>
      </c>
      <c r="T42" s="120"/>
      <c r="V42" s="51"/>
    </row>
    <row r="43" spans="1:22" s="49" customFormat="1" ht="63" customHeight="1">
      <c r="A43" s="11" t="s">
        <v>436</v>
      </c>
      <c r="B43" s="11"/>
      <c r="C43" s="11"/>
      <c r="D43" s="11" t="s">
        <v>363</v>
      </c>
      <c r="E43" s="18" t="s">
        <v>463</v>
      </c>
      <c r="F43" s="69"/>
      <c r="G43" s="65"/>
      <c r="H43" s="123"/>
      <c r="I43" s="124"/>
      <c r="J43" s="124"/>
      <c r="K43" s="124"/>
      <c r="L43" s="65">
        <f t="shared" si="6"/>
        <v>60000</v>
      </c>
      <c r="M43" s="123"/>
      <c r="N43" s="123"/>
      <c r="O43" s="124"/>
      <c r="P43" s="124">
        <v>60000</v>
      </c>
      <c r="Q43" s="124">
        <v>60000</v>
      </c>
      <c r="R43" s="124">
        <v>60000</v>
      </c>
      <c r="S43" s="59">
        <f t="shared" si="5"/>
        <v>60000</v>
      </c>
      <c r="T43" s="120"/>
      <c r="V43" s="51"/>
    </row>
    <row r="44" spans="1:22" s="49" customFormat="1" ht="109.5" customHeight="1">
      <c r="A44" s="11" t="s">
        <v>437</v>
      </c>
      <c r="B44" s="11"/>
      <c r="C44" s="11"/>
      <c r="D44" s="11" t="s">
        <v>363</v>
      </c>
      <c r="E44" s="24" t="s">
        <v>438</v>
      </c>
      <c r="F44" s="69"/>
      <c r="G44" s="65"/>
      <c r="H44" s="123"/>
      <c r="I44" s="124"/>
      <c r="J44" s="124"/>
      <c r="K44" s="124"/>
      <c r="L44" s="65">
        <f t="shared" si="6"/>
        <v>120000</v>
      </c>
      <c r="M44" s="123"/>
      <c r="N44" s="123"/>
      <c r="O44" s="124"/>
      <c r="P44" s="124">
        <v>120000</v>
      </c>
      <c r="Q44" s="124">
        <v>120000</v>
      </c>
      <c r="R44" s="124">
        <v>120000</v>
      </c>
      <c r="S44" s="59">
        <f t="shared" si="5"/>
        <v>120000</v>
      </c>
      <c r="T44" s="120"/>
      <c r="V44" s="51"/>
    </row>
    <row r="45" spans="1:22" s="49" customFormat="1" ht="132" customHeight="1">
      <c r="A45" s="11" t="s">
        <v>365</v>
      </c>
      <c r="B45" s="11" t="s">
        <v>362</v>
      </c>
      <c r="C45" s="11" t="s">
        <v>364</v>
      </c>
      <c r="D45" s="11" t="s">
        <v>363</v>
      </c>
      <c r="E45" s="23" t="s">
        <v>393</v>
      </c>
      <c r="F45" s="69"/>
      <c r="G45" s="65">
        <f t="shared" si="3"/>
        <v>0</v>
      </c>
      <c r="H45" s="123"/>
      <c r="I45" s="124"/>
      <c r="J45" s="124"/>
      <c r="K45" s="124"/>
      <c r="L45" s="65">
        <f>M45+P45</f>
        <v>224540</v>
      </c>
      <c r="M45" s="123"/>
      <c r="N45" s="123"/>
      <c r="O45" s="124"/>
      <c r="P45" s="124">
        <f>50000+43000+2790+125000+3750</f>
        <v>224540</v>
      </c>
      <c r="Q45" s="124">
        <f>P45</f>
        <v>224540</v>
      </c>
      <c r="R45" s="124">
        <f>Q45</f>
        <v>224540</v>
      </c>
      <c r="S45" s="59">
        <f t="shared" si="5"/>
        <v>224540</v>
      </c>
      <c r="T45" s="120"/>
      <c r="V45" s="51"/>
    </row>
    <row r="46" spans="1:22" s="49" customFormat="1" ht="64.5" customHeight="1">
      <c r="A46" s="11" t="s">
        <v>239</v>
      </c>
      <c r="B46" s="11" t="s">
        <v>238</v>
      </c>
      <c r="C46" s="11" t="s">
        <v>240</v>
      </c>
      <c r="D46" s="11" t="s">
        <v>242</v>
      </c>
      <c r="E46" s="18" t="s">
        <v>241</v>
      </c>
      <c r="F46" s="27"/>
      <c r="G46" s="65">
        <f t="shared" si="3"/>
        <v>10000</v>
      </c>
      <c r="H46" s="123">
        <v>10000</v>
      </c>
      <c r="I46" s="124"/>
      <c r="J46" s="124"/>
      <c r="K46" s="124"/>
      <c r="L46" s="65">
        <f t="shared" si="6"/>
        <v>0</v>
      </c>
      <c r="M46" s="123"/>
      <c r="N46" s="123"/>
      <c r="O46" s="124"/>
      <c r="P46" s="124"/>
      <c r="Q46" s="124"/>
      <c r="R46" s="124"/>
      <c r="S46" s="59">
        <f t="shared" si="5"/>
        <v>10000</v>
      </c>
      <c r="T46" s="120"/>
      <c r="V46" s="51"/>
    </row>
    <row r="47" spans="1:22" s="49" customFormat="1" ht="51.75" customHeight="1">
      <c r="A47" s="11" t="s">
        <v>245</v>
      </c>
      <c r="B47" s="11"/>
      <c r="C47" s="11"/>
      <c r="D47" s="11" t="s">
        <v>124</v>
      </c>
      <c r="E47" s="18" t="s">
        <v>246</v>
      </c>
      <c r="F47" s="27"/>
      <c r="G47" s="65">
        <f t="shared" si="3"/>
        <v>0</v>
      </c>
      <c r="H47" s="123">
        <v>0</v>
      </c>
      <c r="I47" s="124"/>
      <c r="J47" s="124"/>
      <c r="K47" s="124"/>
      <c r="L47" s="65">
        <f t="shared" si="6"/>
        <v>0</v>
      </c>
      <c r="M47" s="123"/>
      <c r="N47" s="123"/>
      <c r="O47" s="124"/>
      <c r="P47" s="124">
        <f>350000-30000-6000-314000</f>
        <v>0</v>
      </c>
      <c r="Q47" s="124">
        <f>P47</f>
        <v>0</v>
      </c>
      <c r="R47" s="124">
        <f>Q47</f>
        <v>0</v>
      </c>
      <c r="S47" s="59">
        <f t="shared" si="5"/>
        <v>0</v>
      </c>
      <c r="T47" s="120"/>
      <c r="V47" s="51"/>
    </row>
    <row r="48" spans="1:22" s="49" customFormat="1" ht="71.25" customHeight="1">
      <c r="A48" s="11" t="s">
        <v>234</v>
      </c>
      <c r="B48" s="11" t="s">
        <v>216</v>
      </c>
      <c r="C48" s="11" t="s">
        <v>130</v>
      </c>
      <c r="D48" s="11" t="s">
        <v>105</v>
      </c>
      <c r="E48" s="23" t="s">
        <v>464</v>
      </c>
      <c r="F48" s="27"/>
      <c r="G48" s="65">
        <f t="shared" si="3"/>
        <v>66000</v>
      </c>
      <c r="H48" s="123">
        <f>60000+6000</f>
        <v>66000</v>
      </c>
      <c r="I48" s="124"/>
      <c r="J48" s="124"/>
      <c r="K48" s="124"/>
      <c r="L48" s="65">
        <f t="shared" si="6"/>
        <v>0</v>
      </c>
      <c r="M48" s="123"/>
      <c r="N48" s="123"/>
      <c r="O48" s="124"/>
      <c r="P48" s="124"/>
      <c r="Q48" s="124"/>
      <c r="R48" s="124"/>
      <c r="S48" s="59">
        <f t="shared" si="5"/>
        <v>66000</v>
      </c>
      <c r="T48" s="120"/>
      <c r="V48" s="51"/>
    </row>
    <row r="49" spans="1:22" s="49" customFormat="1" ht="59.4" customHeight="1">
      <c r="A49" s="19" t="s">
        <v>235</v>
      </c>
      <c r="B49" s="19" t="s">
        <v>460</v>
      </c>
      <c r="C49" s="19" t="s">
        <v>201</v>
      </c>
      <c r="D49" s="19" t="s">
        <v>103</v>
      </c>
      <c r="E49" s="21" t="s">
        <v>202</v>
      </c>
      <c r="F49" s="68" t="s">
        <v>7</v>
      </c>
      <c r="G49" s="65">
        <f t="shared" si="3"/>
        <v>583000</v>
      </c>
      <c r="H49" s="123">
        <f>423000+100000+60000</f>
        <v>583000</v>
      </c>
      <c r="I49" s="121"/>
      <c r="J49" s="121"/>
      <c r="K49" s="121"/>
      <c r="L49" s="65">
        <f>M49+P49</f>
        <v>0</v>
      </c>
      <c r="M49" s="65"/>
      <c r="N49" s="65"/>
      <c r="O49" s="121"/>
      <c r="P49" s="121"/>
      <c r="Q49" s="121"/>
      <c r="R49" s="121"/>
      <c r="S49" s="59">
        <f t="shared" si="5"/>
        <v>583000</v>
      </c>
      <c r="T49" s="120"/>
      <c r="V49" s="51"/>
    </row>
    <row r="50" spans="1:22" s="49" customFormat="1" ht="48.75" customHeight="1">
      <c r="A50" s="11" t="s">
        <v>236</v>
      </c>
      <c r="B50" s="11" t="s">
        <v>237</v>
      </c>
      <c r="C50" s="11" t="s">
        <v>175</v>
      </c>
      <c r="D50" s="11" t="s">
        <v>103</v>
      </c>
      <c r="E50" s="18" t="s">
        <v>204</v>
      </c>
      <c r="F50" s="70"/>
      <c r="G50" s="1">
        <f>H50+K50</f>
        <v>134000</v>
      </c>
      <c r="H50" s="45">
        <f>194000-60000</f>
        <v>134000</v>
      </c>
      <c r="I50" s="115"/>
      <c r="J50" s="115"/>
      <c r="K50" s="115"/>
      <c r="L50" s="1">
        <f>M50+P50</f>
        <v>0</v>
      </c>
      <c r="M50" s="45"/>
      <c r="N50" s="45"/>
      <c r="O50" s="115"/>
      <c r="P50" s="115"/>
      <c r="Q50" s="115"/>
      <c r="R50" s="115"/>
      <c r="S50" s="59">
        <f t="shared" si="5"/>
        <v>134000</v>
      </c>
      <c r="T50" s="120"/>
      <c r="V50" s="51"/>
    </row>
    <row r="51" spans="1:22" s="71" customFormat="1" ht="37.950000000000003" customHeight="1">
      <c r="A51" s="8" t="s">
        <v>247</v>
      </c>
      <c r="B51" s="8"/>
      <c r="C51" s="8" t="s">
        <v>131</v>
      </c>
      <c r="D51" s="28"/>
      <c r="E51" s="29" t="s">
        <v>49</v>
      </c>
      <c r="F51" s="28" t="s">
        <v>49</v>
      </c>
      <c r="G51" s="105">
        <f>G52</f>
        <v>177956877.56</v>
      </c>
      <c r="H51" s="105">
        <f t="shared" ref="H51:R51" si="7">H52</f>
        <v>177956877.56</v>
      </c>
      <c r="I51" s="105">
        <f t="shared" si="7"/>
        <v>136167986.56</v>
      </c>
      <c r="J51" s="1">
        <f t="shared" si="7"/>
        <v>22639840</v>
      </c>
      <c r="K51" s="1">
        <f t="shared" si="7"/>
        <v>0</v>
      </c>
      <c r="L51" s="105">
        <f t="shared" si="7"/>
        <v>13328550.289999999</v>
      </c>
      <c r="M51" s="1">
        <f t="shared" si="7"/>
        <v>5142250</v>
      </c>
      <c r="N51" s="1">
        <f t="shared" si="7"/>
        <v>116950</v>
      </c>
      <c r="O51" s="1">
        <f t="shared" si="7"/>
        <v>200000</v>
      </c>
      <c r="P51" s="105">
        <f t="shared" si="7"/>
        <v>8186300.2899999991</v>
      </c>
      <c r="Q51" s="105">
        <f t="shared" si="7"/>
        <v>8186300.2899999991</v>
      </c>
      <c r="R51" s="105">
        <f t="shared" si="7"/>
        <v>8186300.2899999991</v>
      </c>
      <c r="S51" s="106">
        <f t="shared" si="5"/>
        <v>191285427.84999999</v>
      </c>
      <c r="T51" s="125"/>
      <c r="V51" s="61"/>
    </row>
    <row r="52" spans="1:22" s="71" customFormat="1" ht="37.5" customHeight="1">
      <c r="A52" s="8" t="s">
        <v>248</v>
      </c>
      <c r="B52" s="8"/>
      <c r="C52" s="8" t="s">
        <v>249</v>
      </c>
      <c r="D52" s="28"/>
      <c r="E52" s="29" t="s">
        <v>312</v>
      </c>
      <c r="F52" s="28"/>
      <c r="G52" s="105">
        <f t="shared" ref="G52:O52" si="8">SUM(G53:G63)-G57</f>
        <v>177956877.56</v>
      </c>
      <c r="H52" s="105">
        <f t="shared" si="8"/>
        <v>177956877.56</v>
      </c>
      <c r="I52" s="105">
        <f t="shared" si="8"/>
        <v>136167986.56</v>
      </c>
      <c r="J52" s="1">
        <f t="shared" si="8"/>
        <v>22639840</v>
      </c>
      <c r="K52" s="1">
        <f t="shared" si="8"/>
        <v>0</v>
      </c>
      <c r="L52" s="105">
        <f>SUM(L53:L65)-L57</f>
        <v>13328550.289999999</v>
      </c>
      <c r="M52" s="1">
        <f t="shared" si="8"/>
        <v>5142250</v>
      </c>
      <c r="N52" s="1">
        <f t="shared" si="8"/>
        <v>116950</v>
      </c>
      <c r="O52" s="1">
        <f t="shared" si="8"/>
        <v>200000</v>
      </c>
      <c r="P52" s="105">
        <f>SUM(P53:P65)-P57</f>
        <v>8186300.2899999991</v>
      </c>
      <c r="Q52" s="105">
        <f>SUM(Q53:Q65)-Q57</f>
        <v>8186300.2899999991</v>
      </c>
      <c r="R52" s="105">
        <f>SUM(R53:R65)-R57</f>
        <v>8186300.2899999991</v>
      </c>
      <c r="S52" s="106">
        <f t="shared" si="5"/>
        <v>191285427.84999999</v>
      </c>
      <c r="T52" s="125"/>
      <c r="V52" s="61"/>
    </row>
    <row r="53" spans="1:22" s="49" customFormat="1" ht="90" customHeight="1">
      <c r="A53" s="11" t="s">
        <v>250</v>
      </c>
      <c r="B53" s="11" t="s">
        <v>93</v>
      </c>
      <c r="C53" s="26">
        <v>1010180</v>
      </c>
      <c r="D53" s="11" t="s">
        <v>95</v>
      </c>
      <c r="E53" s="12" t="s">
        <v>181</v>
      </c>
      <c r="F53" s="68" t="s">
        <v>5</v>
      </c>
      <c r="G53" s="1">
        <f t="shared" si="3"/>
        <v>1209690</v>
      </c>
      <c r="H53" s="45">
        <f>1205690+4000</f>
        <v>1209690</v>
      </c>
      <c r="I53" s="115">
        <v>1146200</v>
      </c>
      <c r="J53" s="115">
        <v>25000</v>
      </c>
      <c r="K53" s="115"/>
      <c r="L53" s="1">
        <f t="shared" ref="L53:L65" si="9">M53+P53</f>
        <v>0</v>
      </c>
      <c r="M53" s="115"/>
      <c r="N53" s="45"/>
      <c r="O53" s="115"/>
      <c r="P53" s="115"/>
      <c r="Q53" s="115"/>
      <c r="R53" s="115"/>
      <c r="S53" s="59">
        <f t="shared" si="5"/>
        <v>1209690</v>
      </c>
      <c r="T53" s="120"/>
      <c r="V53" s="51"/>
    </row>
    <row r="54" spans="1:22" s="49" customFormat="1" ht="75" customHeight="1">
      <c r="A54" s="11" t="s">
        <v>479</v>
      </c>
      <c r="B54" s="11" t="s">
        <v>315</v>
      </c>
      <c r="C54" s="26">
        <v>1518600</v>
      </c>
      <c r="D54" s="11" t="s">
        <v>106</v>
      </c>
      <c r="E54" s="12" t="s">
        <v>244</v>
      </c>
      <c r="F54" s="68"/>
      <c r="G54" s="1">
        <f t="shared" si="3"/>
        <v>40000</v>
      </c>
      <c r="H54" s="45">
        <f>15000+25000</f>
        <v>40000</v>
      </c>
      <c r="I54" s="115"/>
      <c r="J54" s="115"/>
      <c r="K54" s="115"/>
      <c r="L54" s="1">
        <f t="shared" si="9"/>
        <v>0</v>
      </c>
      <c r="M54" s="115"/>
      <c r="N54" s="45"/>
      <c r="O54" s="115"/>
      <c r="P54" s="115"/>
      <c r="Q54" s="115"/>
      <c r="R54" s="115"/>
      <c r="S54" s="59">
        <f t="shared" si="5"/>
        <v>40000</v>
      </c>
      <c r="T54" s="120"/>
      <c r="V54" s="51"/>
    </row>
    <row r="55" spans="1:22" s="49" customFormat="1" ht="70.5" customHeight="1">
      <c r="A55" s="11" t="s">
        <v>252</v>
      </c>
      <c r="B55" s="11" t="s">
        <v>251</v>
      </c>
      <c r="C55" s="26">
        <v>1011010</v>
      </c>
      <c r="D55" s="11" t="s">
        <v>107</v>
      </c>
      <c r="E55" s="23" t="s">
        <v>253</v>
      </c>
      <c r="F55" s="68" t="s">
        <v>10</v>
      </c>
      <c r="G55" s="1">
        <f t="shared" si="3"/>
        <v>40522350</v>
      </c>
      <c r="H55" s="45">
        <f>40414050-3000+12000-11000-440000+15000+452300+53000+30000</f>
        <v>40522350</v>
      </c>
      <c r="I55" s="115">
        <f>28481800-440000+452300</f>
        <v>28494100</v>
      </c>
      <c r="J55" s="115">
        <v>6504150</v>
      </c>
      <c r="K55" s="115"/>
      <c r="L55" s="1">
        <f t="shared" si="9"/>
        <v>4691000</v>
      </c>
      <c r="M55" s="115">
        <f>4115000</f>
        <v>4115000</v>
      </c>
      <c r="N55" s="45"/>
      <c r="O55" s="115"/>
      <c r="P55" s="115">
        <f>80000+485000+11000</f>
        <v>576000</v>
      </c>
      <c r="Q55" s="115">
        <f t="shared" ref="Q55:R58" si="10">P55</f>
        <v>576000</v>
      </c>
      <c r="R55" s="115">
        <f t="shared" si="10"/>
        <v>576000</v>
      </c>
      <c r="S55" s="59">
        <f t="shared" si="5"/>
        <v>45213350</v>
      </c>
      <c r="T55" s="120"/>
      <c r="V55" s="51"/>
    </row>
    <row r="56" spans="1:22" s="49" customFormat="1" ht="148.5" customHeight="1">
      <c r="A56" s="11" t="s">
        <v>255</v>
      </c>
      <c r="B56" s="11" t="s">
        <v>254</v>
      </c>
      <c r="C56" s="26">
        <v>1011020</v>
      </c>
      <c r="D56" s="11" t="s">
        <v>108</v>
      </c>
      <c r="E56" s="23" t="s">
        <v>357</v>
      </c>
      <c r="F56" s="68" t="s">
        <v>66</v>
      </c>
      <c r="G56" s="105">
        <f t="shared" si="3"/>
        <v>120528177.56</v>
      </c>
      <c r="H56" s="117">
        <f>115000647.56+5530-35000+160000+2500000+2850000+110000+57000-120000</f>
        <v>120528177.56</v>
      </c>
      <c r="I56" s="126">
        <f>91216066.56+2500000</f>
        <v>93716066.560000002</v>
      </c>
      <c r="J56" s="115">
        <f>14924000+16100</f>
        <v>14940100</v>
      </c>
      <c r="K56" s="115"/>
      <c r="L56" s="1">
        <f t="shared" si="9"/>
        <v>4403119</v>
      </c>
      <c r="M56" s="115">
        <v>641500</v>
      </c>
      <c r="N56" s="45">
        <v>116950</v>
      </c>
      <c r="O56" s="115">
        <v>120000</v>
      </c>
      <c r="P56" s="115">
        <f>3030223+623396-12000+120000</f>
        <v>3761619</v>
      </c>
      <c r="Q56" s="115">
        <f>P56</f>
        <v>3761619</v>
      </c>
      <c r="R56" s="115">
        <f>Q56</f>
        <v>3761619</v>
      </c>
      <c r="S56" s="106">
        <f t="shared" si="5"/>
        <v>124931296.56</v>
      </c>
      <c r="T56" s="120"/>
      <c r="V56" s="51"/>
    </row>
    <row r="57" spans="1:22" s="49" customFormat="1" ht="61.5" customHeight="1">
      <c r="A57" s="11" t="s">
        <v>255</v>
      </c>
      <c r="B57" s="11" t="s">
        <v>254</v>
      </c>
      <c r="C57" s="26">
        <v>1011020</v>
      </c>
      <c r="D57" s="11" t="s">
        <v>108</v>
      </c>
      <c r="E57" s="17" t="s">
        <v>491</v>
      </c>
      <c r="F57" s="68" t="s">
        <v>83</v>
      </c>
      <c r="G57" s="105">
        <f t="shared" si="3"/>
        <v>66103776.560000002</v>
      </c>
      <c r="H57" s="117">
        <f>65109000+994776.56+150000-150000</f>
        <v>66103776.560000002</v>
      </c>
      <c r="I57" s="126">
        <f>H57</f>
        <v>66103776.560000002</v>
      </c>
      <c r="J57" s="115"/>
      <c r="K57" s="115"/>
      <c r="L57" s="1">
        <f t="shared" si="9"/>
        <v>2498707</v>
      </c>
      <c r="M57" s="115"/>
      <c r="N57" s="45"/>
      <c r="O57" s="115"/>
      <c r="P57" s="115">
        <f>150000+270724+2077983</f>
        <v>2498707</v>
      </c>
      <c r="Q57" s="115">
        <f t="shared" si="10"/>
        <v>2498707</v>
      </c>
      <c r="R57" s="115">
        <f t="shared" si="10"/>
        <v>2498707</v>
      </c>
      <c r="S57" s="59">
        <f>G57+L57</f>
        <v>68602483.560000002</v>
      </c>
      <c r="T57" s="120"/>
      <c r="V57" s="51"/>
    </row>
    <row r="58" spans="1:22" s="49" customFormat="1" ht="86.25" customHeight="1">
      <c r="A58" s="11" t="s">
        <v>257</v>
      </c>
      <c r="B58" s="11" t="s">
        <v>256</v>
      </c>
      <c r="C58" s="26">
        <v>1011090</v>
      </c>
      <c r="D58" s="11" t="s">
        <v>109</v>
      </c>
      <c r="E58" s="18" t="s">
        <v>156</v>
      </c>
      <c r="F58" s="68" t="s">
        <v>11</v>
      </c>
      <c r="G58" s="1">
        <f t="shared" si="3"/>
        <v>6763700</v>
      </c>
      <c r="H58" s="45">
        <f>8043700+45000-1669000+334000+10000</f>
        <v>6763700</v>
      </c>
      <c r="I58" s="115">
        <f>6039000-416680</f>
        <v>5622320</v>
      </c>
      <c r="J58" s="115">
        <v>542300</v>
      </c>
      <c r="K58" s="115"/>
      <c r="L58" s="1">
        <f t="shared" si="9"/>
        <v>447750</v>
      </c>
      <c r="M58" s="115">
        <v>385750</v>
      </c>
      <c r="N58" s="45"/>
      <c r="O58" s="115">
        <v>80000</v>
      </c>
      <c r="P58" s="115">
        <f>20000+45000+62000-45000-20000</f>
        <v>62000</v>
      </c>
      <c r="Q58" s="115">
        <f t="shared" si="10"/>
        <v>62000</v>
      </c>
      <c r="R58" s="115">
        <f t="shared" si="10"/>
        <v>62000</v>
      </c>
      <c r="S58" s="59">
        <f t="shared" si="5"/>
        <v>7211450</v>
      </c>
      <c r="T58" s="120"/>
      <c r="V58" s="51"/>
    </row>
    <row r="59" spans="1:22" s="49" customFormat="1" ht="25.2" hidden="1" customHeight="1">
      <c r="A59" s="11" t="s">
        <v>140</v>
      </c>
      <c r="B59" s="11"/>
      <c r="C59" s="11" t="s">
        <v>121</v>
      </c>
      <c r="D59" s="11" t="s">
        <v>123</v>
      </c>
      <c r="E59" s="23" t="s">
        <v>157</v>
      </c>
      <c r="F59" s="68" t="s">
        <v>122</v>
      </c>
      <c r="G59" s="1">
        <f t="shared" si="3"/>
        <v>0</v>
      </c>
      <c r="H59" s="45"/>
      <c r="I59" s="115"/>
      <c r="J59" s="115"/>
      <c r="K59" s="115"/>
      <c r="L59" s="1">
        <f t="shared" si="9"/>
        <v>0</v>
      </c>
      <c r="M59" s="115"/>
      <c r="N59" s="45"/>
      <c r="O59" s="115"/>
      <c r="P59" s="115"/>
      <c r="Q59" s="115"/>
      <c r="R59" s="115"/>
      <c r="S59" s="59">
        <f t="shared" si="5"/>
        <v>0</v>
      </c>
      <c r="T59" s="120"/>
      <c r="V59" s="51"/>
    </row>
    <row r="60" spans="1:22" s="49" customFormat="1" ht="67.5" customHeight="1">
      <c r="A60" s="11" t="s">
        <v>258</v>
      </c>
      <c r="B60" s="11" t="s">
        <v>120</v>
      </c>
      <c r="C60" s="11" t="s">
        <v>132</v>
      </c>
      <c r="D60" s="11" t="s">
        <v>110</v>
      </c>
      <c r="E60" s="23" t="s">
        <v>259</v>
      </c>
      <c r="F60" s="68" t="s">
        <v>12</v>
      </c>
      <c r="G60" s="1">
        <f t="shared" si="3"/>
        <v>1015510</v>
      </c>
      <c r="H60" s="45">
        <f>1010510+5000</f>
        <v>1015510</v>
      </c>
      <c r="I60" s="115">
        <v>890600</v>
      </c>
      <c r="J60" s="115">
        <v>103740</v>
      </c>
      <c r="K60" s="115"/>
      <c r="L60" s="1">
        <f t="shared" si="9"/>
        <v>0</v>
      </c>
      <c r="M60" s="115"/>
      <c r="N60" s="45"/>
      <c r="O60" s="115"/>
      <c r="P60" s="115"/>
      <c r="Q60" s="115"/>
      <c r="R60" s="115"/>
      <c r="S60" s="59">
        <f t="shared" si="5"/>
        <v>1015510</v>
      </c>
      <c r="T60" s="120"/>
      <c r="V60" s="51"/>
    </row>
    <row r="61" spans="1:22" s="49" customFormat="1" ht="91.5" customHeight="1">
      <c r="A61" s="11" t="s">
        <v>395</v>
      </c>
      <c r="B61" s="11" t="s">
        <v>260</v>
      </c>
      <c r="C61" s="19" t="s">
        <v>396</v>
      </c>
      <c r="D61" s="19" t="s">
        <v>110</v>
      </c>
      <c r="E61" s="30" t="s">
        <v>397</v>
      </c>
      <c r="F61" s="72"/>
      <c r="G61" s="65">
        <f t="shared" si="3"/>
        <v>3176650</v>
      </c>
      <c r="H61" s="45">
        <f>3001650+35000+40000+100000</f>
        <v>3176650</v>
      </c>
      <c r="I61" s="115">
        <f>2538700+100000</f>
        <v>2638700</v>
      </c>
      <c r="J61" s="115">
        <v>147450</v>
      </c>
      <c r="K61" s="115"/>
      <c r="L61" s="1">
        <f t="shared" si="9"/>
        <v>356850</v>
      </c>
      <c r="M61" s="115"/>
      <c r="N61" s="45"/>
      <c r="O61" s="115"/>
      <c r="P61" s="115">
        <v>356850</v>
      </c>
      <c r="Q61" s="115">
        <v>356850</v>
      </c>
      <c r="R61" s="115">
        <v>356850</v>
      </c>
      <c r="S61" s="59">
        <f t="shared" si="5"/>
        <v>3533500</v>
      </c>
      <c r="T61" s="120"/>
      <c r="V61" s="51"/>
    </row>
    <row r="62" spans="1:22" s="49" customFormat="1" ht="91.2" customHeight="1">
      <c r="A62" s="11" t="s">
        <v>470</v>
      </c>
      <c r="B62" s="11" t="s">
        <v>398</v>
      </c>
      <c r="C62" s="11" t="s">
        <v>133</v>
      </c>
      <c r="D62" s="11" t="s">
        <v>110</v>
      </c>
      <c r="E62" s="99" t="s">
        <v>471</v>
      </c>
      <c r="F62" s="68"/>
      <c r="G62" s="1">
        <f t="shared" si="3"/>
        <v>18100</v>
      </c>
      <c r="H62" s="45">
        <v>18100</v>
      </c>
      <c r="I62" s="115"/>
      <c r="J62" s="115"/>
      <c r="K62" s="115"/>
      <c r="L62" s="1">
        <f t="shared" si="9"/>
        <v>0</v>
      </c>
      <c r="M62" s="115"/>
      <c r="N62" s="45"/>
      <c r="O62" s="115"/>
      <c r="P62" s="115"/>
      <c r="Q62" s="115"/>
      <c r="R62" s="115"/>
      <c r="S62" s="59">
        <f t="shared" si="5"/>
        <v>18100</v>
      </c>
      <c r="T62" s="120"/>
      <c r="V62" s="51"/>
    </row>
    <row r="63" spans="1:22" s="49" customFormat="1" ht="99" customHeight="1">
      <c r="A63" s="11" t="s">
        <v>262</v>
      </c>
      <c r="B63" s="11" t="s">
        <v>261</v>
      </c>
      <c r="C63" s="22" t="s">
        <v>176</v>
      </c>
      <c r="D63" s="22" t="s">
        <v>111</v>
      </c>
      <c r="E63" s="31" t="s">
        <v>158</v>
      </c>
      <c r="F63" s="73" t="s">
        <v>71</v>
      </c>
      <c r="G63" s="67">
        <f t="shared" si="3"/>
        <v>4682700</v>
      </c>
      <c r="H63" s="45">
        <f>4553700+5000+5000+4000+40000+75000</f>
        <v>4682700</v>
      </c>
      <c r="I63" s="115">
        <v>3660000</v>
      </c>
      <c r="J63" s="115">
        <v>377100</v>
      </c>
      <c r="K63" s="115"/>
      <c r="L63" s="1">
        <f t="shared" si="9"/>
        <v>0</v>
      </c>
      <c r="M63" s="115"/>
      <c r="N63" s="45"/>
      <c r="O63" s="115"/>
      <c r="P63" s="115"/>
      <c r="Q63" s="115"/>
      <c r="R63" s="115"/>
      <c r="S63" s="59">
        <f t="shared" si="5"/>
        <v>4682700</v>
      </c>
      <c r="T63" s="120"/>
      <c r="V63" s="51"/>
    </row>
    <row r="64" spans="1:22" s="49" customFormat="1" ht="69" customHeight="1">
      <c r="A64" s="11" t="s">
        <v>484</v>
      </c>
      <c r="B64" s="11"/>
      <c r="C64" s="22"/>
      <c r="D64" s="22" t="s">
        <v>117</v>
      </c>
      <c r="E64" s="31" t="s">
        <v>485</v>
      </c>
      <c r="F64" s="73"/>
      <c r="G64" s="67">
        <f t="shared" si="3"/>
        <v>0</v>
      </c>
      <c r="H64" s="45"/>
      <c r="I64" s="115"/>
      <c r="J64" s="115"/>
      <c r="K64" s="115"/>
      <c r="L64" s="1">
        <f t="shared" si="9"/>
        <v>1700000</v>
      </c>
      <c r="M64" s="115"/>
      <c r="N64" s="45"/>
      <c r="O64" s="115"/>
      <c r="P64" s="115">
        <f>1500000+200000</f>
        <v>1700000</v>
      </c>
      <c r="Q64" s="115">
        <f>P64</f>
        <v>1700000</v>
      </c>
      <c r="R64" s="115">
        <f>P64</f>
        <v>1700000</v>
      </c>
      <c r="S64" s="59">
        <f t="shared" si="5"/>
        <v>1700000</v>
      </c>
      <c r="T64" s="120"/>
      <c r="V64" s="51"/>
    </row>
    <row r="65" spans="1:22" s="49" customFormat="1" ht="106.5" customHeight="1">
      <c r="A65" s="11" t="s">
        <v>482</v>
      </c>
      <c r="B65" s="11" t="s">
        <v>362</v>
      </c>
      <c r="C65" s="11" t="s">
        <v>483</v>
      </c>
      <c r="D65" s="11" t="s">
        <v>363</v>
      </c>
      <c r="E65" s="23" t="s">
        <v>393</v>
      </c>
      <c r="F65" s="73"/>
      <c r="G65" s="67">
        <f t="shared" si="3"/>
        <v>0</v>
      </c>
      <c r="H65" s="45"/>
      <c r="I65" s="115"/>
      <c r="J65" s="115"/>
      <c r="K65" s="115"/>
      <c r="L65" s="1">
        <f t="shared" si="9"/>
        <v>1729831.29</v>
      </c>
      <c r="M65" s="115"/>
      <c r="N65" s="45"/>
      <c r="O65" s="115"/>
      <c r="P65" s="126">
        <f>508457.29+15254+1170990+35130</f>
        <v>1729831.29</v>
      </c>
      <c r="Q65" s="126">
        <f>P65</f>
        <v>1729831.29</v>
      </c>
      <c r="R65" s="126">
        <f>Q65</f>
        <v>1729831.29</v>
      </c>
      <c r="S65" s="106">
        <f t="shared" si="5"/>
        <v>1729831.29</v>
      </c>
      <c r="T65" s="120"/>
      <c r="V65" s="51"/>
    </row>
    <row r="66" spans="1:22" s="71" customFormat="1" ht="83.25" customHeight="1">
      <c r="A66" s="8" t="s">
        <v>274</v>
      </c>
      <c r="B66" s="8"/>
      <c r="C66" s="8" t="s">
        <v>135</v>
      </c>
      <c r="D66" s="11"/>
      <c r="E66" s="29" t="s">
        <v>54</v>
      </c>
      <c r="F66" s="28" t="s">
        <v>54</v>
      </c>
      <c r="G66" s="1">
        <f>G67</f>
        <v>335078216</v>
      </c>
      <c r="H66" s="1">
        <f t="shared" ref="H66:R66" si="11">H67</f>
        <v>335078216</v>
      </c>
      <c r="I66" s="1">
        <f t="shared" si="11"/>
        <v>16903210</v>
      </c>
      <c r="J66" s="1">
        <f t="shared" si="11"/>
        <v>773510</v>
      </c>
      <c r="K66" s="1">
        <f t="shared" si="11"/>
        <v>0</v>
      </c>
      <c r="L66" s="105">
        <f t="shared" si="11"/>
        <v>140000</v>
      </c>
      <c r="M66" s="1">
        <f t="shared" si="11"/>
        <v>90000</v>
      </c>
      <c r="N66" s="1">
        <f t="shared" si="11"/>
        <v>67100</v>
      </c>
      <c r="O66" s="1">
        <f t="shared" si="11"/>
        <v>3250</v>
      </c>
      <c r="P66" s="1">
        <f t="shared" si="11"/>
        <v>50000</v>
      </c>
      <c r="Q66" s="1">
        <f t="shared" si="11"/>
        <v>50000</v>
      </c>
      <c r="R66" s="1">
        <f t="shared" si="11"/>
        <v>50000</v>
      </c>
      <c r="S66" s="59">
        <f t="shared" si="5"/>
        <v>335218216</v>
      </c>
      <c r="T66" s="125"/>
      <c r="V66" s="61"/>
    </row>
    <row r="67" spans="1:22" s="71" customFormat="1" ht="86.25" customHeight="1">
      <c r="A67" s="8" t="s">
        <v>276</v>
      </c>
      <c r="B67" s="8"/>
      <c r="C67" s="8" t="s">
        <v>275</v>
      </c>
      <c r="D67" s="11"/>
      <c r="E67" s="29" t="str">
        <f>E66</f>
        <v>Управління праці та соціального захисту населення  міської ради</v>
      </c>
      <c r="F67" s="28"/>
      <c r="G67" s="1">
        <f>H67+K67</f>
        <v>335078216</v>
      </c>
      <c r="H67" s="1">
        <f>H68+H69+H70+H72</f>
        <v>335078216</v>
      </c>
      <c r="I67" s="1">
        <f t="shared" ref="I67:R67" si="12">I68+I69+I70+I72</f>
        <v>16903210</v>
      </c>
      <c r="J67" s="1">
        <f t="shared" si="12"/>
        <v>773510</v>
      </c>
      <c r="K67" s="1">
        <f t="shared" si="12"/>
        <v>0</v>
      </c>
      <c r="L67" s="105">
        <f t="shared" si="12"/>
        <v>140000</v>
      </c>
      <c r="M67" s="1">
        <f t="shared" si="12"/>
        <v>90000</v>
      </c>
      <c r="N67" s="1">
        <f t="shared" si="12"/>
        <v>67100</v>
      </c>
      <c r="O67" s="1">
        <f t="shared" si="12"/>
        <v>3250</v>
      </c>
      <c r="P67" s="1">
        <f t="shared" si="12"/>
        <v>50000</v>
      </c>
      <c r="Q67" s="1">
        <f t="shared" si="12"/>
        <v>50000</v>
      </c>
      <c r="R67" s="1">
        <f t="shared" si="12"/>
        <v>50000</v>
      </c>
      <c r="S67" s="59">
        <f t="shared" si="5"/>
        <v>335218216</v>
      </c>
      <c r="T67" s="125"/>
      <c r="V67" s="61"/>
    </row>
    <row r="68" spans="1:22" s="49" customFormat="1" ht="90.75" customHeight="1">
      <c r="A68" s="11" t="s">
        <v>277</v>
      </c>
      <c r="B68" s="11" t="s">
        <v>93</v>
      </c>
      <c r="C68" s="26">
        <v>1510180</v>
      </c>
      <c r="D68" s="11" t="s">
        <v>95</v>
      </c>
      <c r="E68" s="12" t="s">
        <v>181</v>
      </c>
      <c r="F68" s="68" t="s">
        <v>5</v>
      </c>
      <c r="G68" s="1">
        <f t="shared" si="3"/>
        <v>11849000</v>
      </c>
      <c r="H68" s="115">
        <f>10635000+60000+1150000+4000</f>
        <v>11849000</v>
      </c>
      <c r="I68" s="115">
        <f>9911610+60000+1150000</f>
        <v>11121610</v>
      </c>
      <c r="J68" s="115">
        <v>263490</v>
      </c>
      <c r="K68" s="115"/>
      <c r="L68" s="1">
        <f t="shared" ref="L68:L126" si="13">M68+P68</f>
        <v>0</v>
      </c>
      <c r="M68" s="115"/>
      <c r="N68" s="115"/>
      <c r="O68" s="115"/>
      <c r="P68" s="115"/>
      <c r="Q68" s="115"/>
      <c r="R68" s="115"/>
      <c r="S68" s="59">
        <f t="shared" si="5"/>
        <v>11849000</v>
      </c>
      <c r="T68" s="120"/>
      <c r="V68" s="51"/>
    </row>
    <row r="69" spans="1:22" s="49" customFormat="1" ht="68.25" customHeight="1">
      <c r="A69" s="11" t="s">
        <v>314</v>
      </c>
      <c r="B69" s="11" t="s">
        <v>315</v>
      </c>
      <c r="C69" s="26">
        <v>1518600</v>
      </c>
      <c r="D69" s="11" t="s">
        <v>106</v>
      </c>
      <c r="E69" s="12" t="s">
        <v>244</v>
      </c>
      <c r="F69" s="68"/>
      <c r="G69" s="1">
        <f t="shared" si="3"/>
        <v>20000</v>
      </c>
      <c r="H69" s="115">
        <f>20000</f>
        <v>20000</v>
      </c>
      <c r="I69" s="115"/>
      <c r="J69" s="115"/>
      <c r="K69" s="115"/>
      <c r="L69" s="1">
        <f t="shared" si="13"/>
        <v>0</v>
      </c>
      <c r="M69" s="115"/>
      <c r="N69" s="115"/>
      <c r="O69" s="115"/>
      <c r="P69" s="115"/>
      <c r="Q69" s="115"/>
      <c r="R69" s="115"/>
      <c r="S69" s="59">
        <f t="shared" si="5"/>
        <v>20000</v>
      </c>
      <c r="T69" s="120"/>
      <c r="V69" s="51"/>
    </row>
    <row r="70" spans="1:22" s="49" customFormat="1" ht="339" customHeight="1">
      <c r="A70" s="11" t="s">
        <v>307</v>
      </c>
      <c r="B70" s="11" t="s">
        <v>278</v>
      </c>
      <c r="C70" s="26">
        <v>1511060</v>
      </c>
      <c r="D70" s="11" t="s">
        <v>101</v>
      </c>
      <c r="E70" s="32" t="s">
        <v>399</v>
      </c>
      <c r="F70" s="68" t="s">
        <v>84</v>
      </c>
      <c r="G70" s="1">
        <f t="shared" si="3"/>
        <v>977400</v>
      </c>
      <c r="H70" s="1">
        <f>H71</f>
        <v>977400</v>
      </c>
      <c r="I70" s="1">
        <f>I71</f>
        <v>0</v>
      </c>
      <c r="J70" s="1">
        <f>J71</f>
        <v>0</v>
      </c>
      <c r="K70" s="1">
        <f>K71</f>
        <v>0</v>
      </c>
      <c r="L70" s="1">
        <f t="shared" si="13"/>
        <v>0</v>
      </c>
      <c r="M70" s="45"/>
      <c r="N70" s="45"/>
      <c r="O70" s="45"/>
      <c r="P70" s="45"/>
      <c r="Q70" s="45"/>
      <c r="R70" s="45"/>
      <c r="S70" s="59">
        <f t="shared" si="5"/>
        <v>977400</v>
      </c>
      <c r="T70" s="120"/>
      <c r="V70" s="51"/>
    </row>
    <row r="71" spans="1:22" s="49" customFormat="1" ht="63" customHeight="1">
      <c r="A71" s="11" t="s">
        <v>307</v>
      </c>
      <c r="B71" s="11" t="s">
        <v>278</v>
      </c>
      <c r="C71" s="26">
        <v>1511060</v>
      </c>
      <c r="D71" s="11" t="s">
        <v>101</v>
      </c>
      <c r="E71" s="18" t="s">
        <v>162</v>
      </c>
      <c r="F71" s="27" t="s">
        <v>85</v>
      </c>
      <c r="G71" s="1">
        <f t="shared" si="3"/>
        <v>977400</v>
      </c>
      <c r="H71" s="1">
        <v>977400</v>
      </c>
      <c r="I71" s="45"/>
      <c r="J71" s="45"/>
      <c r="K71" s="45"/>
      <c r="L71" s="1">
        <f t="shared" si="13"/>
        <v>0</v>
      </c>
      <c r="M71" s="45"/>
      <c r="N71" s="45"/>
      <c r="O71" s="45"/>
      <c r="P71" s="45"/>
      <c r="Q71" s="45"/>
      <c r="R71" s="45"/>
      <c r="S71" s="59">
        <f t="shared" si="5"/>
        <v>977400</v>
      </c>
      <c r="T71" s="120"/>
      <c r="V71" s="51"/>
    </row>
    <row r="72" spans="1:22" s="49" customFormat="1" ht="54" customHeight="1">
      <c r="A72" s="8" t="s">
        <v>279</v>
      </c>
      <c r="B72" s="8"/>
      <c r="C72" s="33">
        <v>1513000</v>
      </c>
      <c r="D72" s="8"/>
      <c r="E72" s="29" t="s">
        <v>400</v>
      </c>
      <c r="F72" s="68" t="s">
        <v>58</v>
      </c>
      <c r="G72" s="1">
        <f t="shared" si="3"/>
        <v>322231816</v>
      </c>
      <c r="H72" s="1">
        <f t="shared" ref="H72:R72" si="14">H74+H84+H99+H100+H102+H103+H104+H105+H106+H108+H109+H111+H112+H110+H107</f>
        <v>322231816</v>
      </c>
      <c r="I72" s="1">
        <f t="shared" si="14"/>
        <v>5781600</v>
      </c>
      <c r="J72" s="1">
        <f t="shared" si="14"/>
        <v>510020</v>
      </c>
      <c r="K72" s="1">
        <f t="shared" si="14"/>
        <v>0</v>
      </c>
      <c r="L72" s="1">
        <f t="shared" si="14"/>
        <v>140000</v>
      </c>
      <c r="M72" s="1">
        <f t="shared" si="14"/>
        <v>90000</v>
      </c>
      <c r="N72" s="1">
        <f t="shared" si="14"/>
        <v>67100</v>
      </c>
      <c r="O72" s="1">
        <f t="shared" si="14"/>
        <v>3250</v>
      </c>
      <c r="P72" s="1">
        <f t="shared" si="14"/>
        <v>50000</v>
      </c>
      <c r="Q72" s="1">
        <f t="shared" si="14"/>
        <v>50000</v>
      </c>
      <c r="R72" s="1">
        <f t="shared" si="14"/>
        <v>50000</v>
      </c>
      <c r="S72" s="59">
        <f t="shared" si="5"/>
        <v>322371816</v>
      </c>
      <c r="T72" s="120"/>
      <c r="V72" s="51"/>
    </row>
    <row r="73" spans="1:22" s="49" customFormat="1" ht="60.75" customHeight="1">
      <c r="A73" s="11" t="s">
        <v>279</v>
      </c>
      <c r="B73" s="11"/>
      <c r="C73" s="26">
        <v>1513000</v>
      </c>
      <c r="D73" s="11"/>
      <c r="E73" s="17" t="s">
        <v>59</v>
      </c>
      <c r="F73" s="68" t="s">
        <v>59</v>
      </c>
      <c r="G73" s="1">
        <f t="shared" si="3"/>
        <v>313123600</v>
      </c>
      <c r="H73" s="1">
        <f>H75+H85+H99+H100+H106</f>
        <v>313123600</v>
      </c>
      <c r="I73" s="45"/>
      <c r="J73" s="45"/>
      <c r="K73" s="45"/>
      <c r="L73" s="1">
        <f t="shared" si="13"/>
        <v>0</v>
      </c>
      <c r="M73" s="45"/>
      <c r="N73" s="45"/>
      <c r="O73" s="45"/>
      <c r="P73" s="45"/>
      <c r="Q73" s="45"/>
      <c r="R73" s="45"/>
      <c r="S73" s="59">
        <f t="shared" si="5"/>
        <v>313123600</v>
      </c>
      <c r="T73" s="120"/>
      <c r="V73" s="51"/>
    </row>
    <row r="74" spans="1:22" s="49" customFormat="1" ht="68.25" customHeight="1">
      <c r="A74" s="11"/>
      <c r="B74" s="11"/>
      <c r="C74" s="26"/>
      <c r="D74" s="11"/>
      <c r="E74" s="29" t="s">
        <v>401</v>
      </c>
      <c r="F74" s="68"/>
      <c r="G74" s="1">
        <f>H74+K74</f>
        <v>18241100</v>
      </c>
      <c r="H74" s="1">
        <f>H75</f>
        <v>18241100</v>
      </c>
      <c r="I74" s="1">
        <f t="shared" ref="I74:R75" si="15">I75</f>
        <v>0</v>
      </c>
      <c r="J74" s="1">
        <f t="shared" si="15"/>
        <v>0</v>
      </c>
      <c r="K74" s="1">
        <f t="shared" si="15"/>
        <v>0</v>
      </c>
      <c r="L74" s="1">
        <f t="shared" si="15"/>
        <v>0</v>
      </c>
      <c r="M74" s="1">
        <f t="shared" si="15"/>
        <v>0</v>
      </c>
      <c r="N74" s="1">
        <f t="shared" si="15"/>
        <v>0</v>
      </c>
      <c r="O74" s="1">
        <f t="shared" si="15"/>
        <v>0</v>
      </c>
      <c r="P74" s="1">
        <f t="shared" si="15"/>
        <v>0</v>
      </c>
      <c r="Q74" s="1">
        <f t="shared" si="15"/>
        <v>0</v>
      </c>
      <c r="R74" s="1">
        <f t="shared" si="15"/>
        <v>0</v>
      </c>
      <c r="S74" s="59">
        <f t="shared" si="5"/>
        <v>18241100</v>
      </c>
      <c r="T74" s="120"/>
      <c r="V74" s="51"/>
    </row>
    <row r="75" spans="1:22" s="49" customFormat="1" ht="49.5" customHeight="1">
      <c r="A75" s="11"/>
      <c r="B75" s="11"/>
      <c r="C75" s="26"/>
      <c r="D75" s="11"/>
      <c r="E75" s="17" t="s">
        <v>402</v>
      </c>
      <c r="F75" s="68"/>
      <c r="G75" s="1">
        <f>H75+K75</f>
        <v>18241100</v>
      </c>
      <c r="H75" s="1">
        <f>H76+H77+H81</f>
        <v>18241100</v>
      </c>
      <c r="I75" s="45"/>
      <c r="J75" s="45"/>
      <c r="K75" s="45"/>
      <c r="L75" s="1">
        <f t="shared" si="15"/>
        <v>0</v>
      </c>
      <c r="M75" s="45"/>
      <c r="N75" s="45"/>
      <c r="O75" s="45"/>
      <c r="P75" s="45"/>
      <c r="Q75" s="45"/>
      <c r="R75" s="45"/>
      <c r="S75" s="59">
        <f t="shared" si="5"/>
        <v>18241100</v>
      </c>
      <c r="T75" s="120"/>
      <c r="V75" s="51"/>
    </row>
    <row r="76" spans="1:22" s="71" customFormat="1" ht="158.25" customHeight="1">
      <c r="A76" s="11" t="s">
        <v>280</v>
      </c>
      <c r="B76" s="11" t="s">
        <v>474</v>
      </c>
      <c r="C76" s="26">
        <v>1513011</v>
      </c>
      <c r="D76" s="11" t="s">
        <v>112</v>
      </c>
      <c r="E76" s="23" t="s">
        <v>281</v>
      </c>
      <c r="F76" s="27" t="s">
        <v>50</v>
      </c>
      <c r="G76" s="1">
        <f t="shared" si="3"/>
        <v>18100000</v>
      </c>
      <c r="H76" s="45">
        <v>18100000</v>
      </c>
      <c r="I76" s="45"/>
      <c r="J76" s="45"/>
      <c r="K76" s="45"/>
      <c r="L76" s="1">
        <f t="shared" si="13"/>
        <v>0</v>
      </c>
      <c r="M76" s="45"/>
      <c r="N76" s="45"/>
      <c r="O76" s="45"/>
      <c r="P76" s="45"/>
      <c r="Q76" s="45"/>
      <c r="R76" s="45"/>
      <c r="S76" s="59">
        <f t="shared" si="5"/>
        <v>18100000</v>
      </c>
      <c r="T76" s="125"/>
      <c r="V76" s="61"/>
    </row>
    <row r="77" spans="1:22" s="71" customFormat="1" ht="116.25" customHeight="1">
      <c r="A77" s="11" t="s">
        <v>282</v>
      </c>
      <c r="B77" s="11" t="s">
        <v>476</v>
      </c>
      <c r="C77" s="26">
        <v>1513021</v>
      </c>
      <c r="D77" s="11" t="s">
        <v>112</v>
      </c>
      <c r="E77" s="23" t="s">
        <v>283</v>
      </c>
      <c r="F77" s="74" t="s">
        <v>29</v>
      </c>
      <c r="G77" s="1">
        <f>H77+K77</f>
        <v>56500</v>
      </c>
      <c r="H77" s="117">
        <v>56500</v>
      </c>
      <c r="I77" s="45"/>
      <c r="J77" s="45"/>
      <c r="K77" s="45"/>
      <c r="L77" s="1">
        <f t="shared" si="13"/>
        <v>0</v>
      </c>
      <c r="M77" s="45"/>
      <c r="N77" s="45"/>
      <c r="O77" s="45"/>
      <c r="P77" s="45"/>
      <c r="Q77" s="45"/>
      <c r="R77" s="45"/>
      <c r="S77" s="59">
        <f t="shared" si="5"/>
        <v>56500</v>
      </c>
      <c r="T77" s="125"/>
      <c r="V77" s="61"/>
    </row>
    <row r="78" spans="1:22" s="71" customFormat="1" ht="75.599999999999994" hidden="1" customHeight="1">
      <c r="A78" s="28"/>
      <c r="B78" s="28"/>
      <c r="C78" s="28"/>
      <c r="D78" s="28"/>
      <c r="E78" s="18"/>
      <c r="F78" s="74" t="s">
        <v>30</v>
      </c>
      <c r="G78" s="1">
        <f t="shared" ref="G78:G165" si="16">H78+K78</f>
        <v>0</v>
      </c>
      <c r="H78" s="45"/>
      <c r="I78" s="45"/>
      <c r="J78" s="45"/>
      <c r="K78" s="45"/>
      <c r="L78" s="1">
        <f t="shared" si="13"/>
        <v>0</v>
      </c>
      <c r="M78" s="45"/>
      <c r="N78" s="45"/>
      <c r="O78" s="45"/>
      <c r="P78" s="45">
        <f>99000-99000</f>
        <v>0</v>
      </c>
      <c r="Q78" s="45">
        <f>99000-99000</f>
        <v>0</v>
      </c>
      <c r="R78" s="45"/>
      <c r="S78" s="59">
        <f t="shared" si="5"/>
        <v>0</v>
      </c>
      <c r="T78" s="125"/>
      <c r="V78" s="61"/>
    </row>
    <row r="79" spans="1:22" s="71" customFormat="1" ht="75.599999999999994" hidden="1" customHeight="1">
      <c r="A79" s="28"/>
      <c r="B79" s="28"/>
      <c r="C79" s="28"/>
      <c r="D79" s="28"/>
      <c r="E79" s="18"/>
      <c r="F79" s="27" t="s">
        <v>31</v>
      </c>
      <c r="G79" s="1">
        <f t="shared" si="16"/>
        <v>0</v>
      </c>
      <c r="H79" s="45"/>
      <c r="I79" s="45"/>
      <c r="J79" s="45"/>
      <c r="K79" s="45"/>
      <c r="L79" s="1">
        <f t="shared" si="13"/>
        <v>0</v>
      </c>
      <c r="M79" s="45"/>
      <c r="N79" s="45"/>
      <c r="O79" s="45"/>
      <c r="P79" s="45"/>
      <c r="Q79" s="45"/>
      <c r="R79" s="45"/>
      <c r="S79" s="59">
        <f t="shared" si="5"/>
        <v>0</v>
      </c>
      <c r="T79" s="125"/>
      <c r="V79" s="61"/>
    </row>
    <row r="80" spans="1:22" s="71" customFormat="1" ht="0.75" hidden="1" customHeight="1">
      <c r="A80" s="28"/>
      <c r="B80" s="28"/>
      <c r="C80" s="28"/>
      <c r="D80" s="28"/>
      <c r="E80" s="18"/>
      <c r="F80" s="27" t="s">
        <v>32</v>
      </c>
      <c r="G80" s="1">
        <f t="shared" si="16"/>
        <v>0</v>
      </c>
      <c r="H80" s="45"/>
      <c r="I80" s="45"/>
      <c r="J80" s="45"/>
      <c r="K80" s="45"/>
      <c r="L80" s="1">
        <f t="shared" si="13"/>
        <v>0</v>
      </c>
      <c r="M80" s="45"/>
      <c r="N80" s="45"/>
      <c r="O80" s="45"/>
      <c r="P80" s="45"/>
      <c r="Q80" s="45"/>
      <c r="R80" s="45"/>
      <c r="S80" s="59">
        <f t="shared" si="5"/>
        <v>0</v>
      </c>
      <c r="T80" s="125"/>
      <c r="V80" s="61"/>
    </row>
    <row r="81" spans="1:22" s="71" customFormat="1" ht="94.5" customHeight="1">
      <c r="A81" s="11" t="s">
        <v>289</v>
      </c>
      <c r="B81" s="11" t="s">
        <v>288</v>
      </c>
      <c r="C81" s="26">
        <v>1513050</v>
      </c>
      <c r="D81" s="11" t="s">
        <v>113</v>
      </c>
      <c r="E81" s="23" t="s">
        <v>163</v>
      </c>
      <c r="F81" s="27" t="s">
        <v>90</v>
      </c>
      <c r="G81" s="1">
        <f t="shared" si="16"/>
        <v>84600</v>
      </c>
      <c r="H81" s="45">
        <v>84600</v>
      </c>
      <c r="I81" s="45"/>
      <c r="J81" s="45"/>
      <c r="K81" s="45"/>
      <c r="L81" s="1">
        <f t="shared" si="13"/>
        <v>0</v>
      </c>
      <c r="M81" s="45"/>
      <c r="N81" s="45"/>
      <c r="O81" s="45"/>
      <c r="P81" s="45"/>
      <c r="Q81" s="45"/>
      <c r="R81" s="45"/>
      <c r="S81" s="59">
        <f t="shared" si="5"/>
        <v>84600</v>
      </c>
      <c r="T81" s="125"/>
      <c r="V81" s="61"/>
    </row>
    <row r="82" spans="1:22" s="71" customFormat="1" ht="0.75" hidden="1" customHeight="1">
      <c r="A82" s="28"/>
      <c r="B82" s="28"/>
      <c r="C82" s="28"/>
      <c r="D82" s="28"/>
      <c r="E82" s="18"/>
      <c r="F82" s="27" t="s">
        <v>33</v>
      </c>
      <c r="G82" s="1">
        <f t="shared" si="16"/>
        <v>0</v>
      </c>
      <c r="H82" s="45"/>
      <c r="I82" s="45"/>
      <c r="J82" s="45"/>
      <c r="K82" s="45"/>
      <c r="L82" s="1">
        <f t="shared" si="13"/>
        <v>0</v>
      </c>
      <c r="M82" s="45"/>
      <c r="N82" s="45"/>
      <c r="O82" s="45"/>
      <c r="P82" s="45"/>
      <c r="Q82" s="45"/>
      <c r="R82" s="45"/>
      <c r="S82" s="59">
        <f t="shared" si="5"/>
        <v>0</v>
      </c>
      <c r="T82" s="125"/>
      <c r="V82" s="61"/>
    </row>
    <row r="83" spans="1:22" s="75" customFormat="1" ht="9" hidden="1" customHeight="1">
      <c r="A83" s="25"/>
      <c r="B83" s="25"/>
      <c r="C83" s="4"/>
      <c r="D83" s="11"/>
      <c r="E83" s="17"/>
      <c r="F83" s="25"/>
      <c r="G83" s="1"/>
      <c r="H83" s="43"/>
      <c r="I83" s="43"/>
      <c r="J83" s="43"/>
      <c r="K83" s="43"/>
      <c r="L83" s="1">
        <f t="shared" si="13"/>
        <v>0</v>
      </c>
      <c r="M83" s="43"/>
      <c r="N83" s="43"/>
      <c r="O83" s="43"/>
      <c r="P83" s="43"/>
      <c r="Q83" s="43"/>
      <c r="R83" s="127"/>
      <c r="S83" s="59">
        <f t="shared" si="5"/>
        <v>0</v>
      </c>
      <c r="T83" s="128"/>
      <c r="V83" s="76"/>
    </row>
    <row r="84" spans="1:22" s="71" customFormat="1" ht="48.75" customHeight="1">
      <c r="A84" s="28">
        <v>813040</v>
      </c>
      <c r="B84" s="28"/>
      <c r="C84" s="28"/>
      <c r="D84" s="28"/>
      <c r="E84" s="29" t="s">
        <v>60</v>
      </c>
      <c r="F84" s="68" t="s">
        <v>60</v>
      </c>
      <c r="G84" s="1">
        <f t="shared" si="16"/>
        <v>100913200</v>
      </c>
      <c r="H84" s="1">
        <f>H85</f>
        <v>100913200</v>
      </c>
      <c r="I84" s="1">
        <f t="shared" ref="I84:R84" si="17">I85</f>
        <v>0</v>
      </c>
      <c r="J84" s="1">
        <f t="shared" si="17"/>
        <v>0</v>
      </c>
      <c r="K84" s="1">
        <f t="shared" si="17"/>
        <v>0</v>
      </c>
      <c r="L84" s="1">
        <f t="shared" si="17"/>
        <v>0</v>
      </c>
      <c r="M84" s="1">
        <f t="shared" si="17"/>
        <v>0</v>
      </c>
      <c r="N84" s="1">
        <f t="shared" si="17"/>
        <v>0</v>
      </c>
      <c r="O84" s="1">
        <f t="shared" si="17"/>
        <v>0</v>
      </c>
      <c r="P84" s="1">
        <f t="shared" si="17"/>
        <v>0</v>
      </c>
      <c r="Q84" s="1">
        <f t="shared" si="17"/>
        <v>0</v>
      </c>
      <c r="R84" s="1">
        <f t="shared" si="17"/>
        <v>0</v>
      </c>
      <c r="S84" s="59">
        <f t="shared" si="5"/>
        <v>100913200</v>
      </c>
      <c r="T84" s="125"/>
      <c r="V84" s="61"/>
    </row>
    <row r="85" spans="1:22" s="71" customFormat="1" ht="50.25" customHeight="1">
      <c r="A85" s="28"/>
      <c r="B85" s="28"/>
      <c r="C85" s="28"/>
      <c r="D85" s="28"/>
      <c r="E85" s="17" t="s">
        <v>61</v>
      </c>
      <c r="F85" s="27" t="s">
        <v>61</v>
      </c>
      <c r="G85" s="1">
        <f t="shared" si="16"/>
        <v>100913200</v>
      </c>
      <c r="H85" s="1">
        <f>H86+H87+H88+H89+H90+H91+H92+H93</f>
        <v>100913200</v>
      </c>
      <c r="I85" s="45"/>
      <c r="J85" s="45"/>
      <c r="K85" s="45"/>
      <c r="L85" s="1">
        <f t="shared" si="13"/>
        <v>0</v>
      </c>
      <c r="M85" s="45"/>
      <c r="N85" s="45"/>
      <c r="O85" s="45"/>
      <c r="P85" s="45"/>
      <c r="Q85" s="45"/>
      <c r="R85" s="45"/>
      <c r="S85" s="59">
        <f t="shared" si="5"/>
        <v>100913200</v>
      </c>
      <c r="T85" s="125"/>
      <c r="V85" s="61"/>
    </row>
    <row r="86" spans="1:22" s="71" customFormat="1" ht="63" customHeight="1">
      <c r="A86" s="11" t="s">
        <v>293</v>
      </c>
      <c r="B86" s="11" t="s">
        <v>290</v>
      </c>
      <c r="C86" s="26">
        <v>1513041</v>
      </c>
      <c r="D86" s="11" t="s">
        <v>101</v>
      </c>
      <c r="E86" s="23" t="s">
        <v>164</v>
      </c>
      <c r="F86" s="27" t="s">
        <v>69</v>
      </c>
      <c r="G86" s="1">
        <f t="shared" si="16"/>
        <v>540000</v>
      </c>
      <c r="H86" s="1">
        <v>540000</v>
      </c>
      <c r="I86" s="45"/>
      <c r="J86" s="45"/>
      <c r="K86" s="45"/>
      <c r="L86" s="1">
        <f t="shared" si="13"/>
        <v>0</v>
      </c>
      <c r="M86" s="45"/>
      <c r="N86" s="45"/>
      <c r="O86" s="45"/>
      <c r="P86" s="45"/>
      <c r="Q86" s="45"/>
      <c r="R86" s="45"/>
      <c r="S86" s="59">
        <f t="shared" si="5"/>
        <v>540000</v>
      </c>
      <c r="T86" s="125"/>
      <c r="V86" s="61"/>
    </row>
    <row r="87" spans="1:22" s="71" customFormat="1" ht="57.75" customHeight="1">
      <c r="A87" s="11" t="s">
        <v>291</v>
      </c>
      <c r="B87" s="11" t="s">
        <v>301</v>
      </c>
      <c r="C87" s="26">
        <v>1513047</v>
      </c>
      <c r="D87" s="11" t="s">
        <v>101</v>
      </c>
      <c r="E87" s="23" t="s">
        <v>169</v>
      </c>
      <c r="F87" s="27" t="s">
        <v>51</v>
      </c>
      <c r="G87" s="1">
        <f t="shared" si="16"/>
        <v>150000</v>
      </c>
      <c r="H87" s="1">
        <v>150000</v>
      </c>
      <c r="I87" s="45"/>
      <c r="J87" s="45"/>
      <c r="K87" s="45"/>
      <c r="L87" s="1">
        <f t="shared" si="13"/>
        <v>0</v>
      </c>
      <c r="M87" s="45"/>
      <c r="N87" s="45"/>
      <c r="O87" s="45"/>
      <c r="P87" s="45"/>
      <c r="Q87" s="45"/>
      <c r="R87" s="45"/>
      <c r="S87" s="59">
        <f t="shared" si="5"/>
        <v>150000</v>
      </c>
      <c r="T87" s="125"/>
      <c r="V87" s="61"/>
    </row>
    <row r="88" spans="1:22" s="71" customFormat="1" ht="45" customHeight="1">
      <c r="A88" s="11" t="s">
        <v>295</v>
      </c>
      <c r="B88" s="11" t="s">
        <v>292</v>
      </c>
      <c r="C88" s="26">
        <v>1513043</v>
      </c>
      <c r="D88" s="11" t="s">
        <v>101</v>
      </c>
      <c r="E88" s="23" t="s">
        <v>165</v>
      </c>
      <c r="F88" s="27" t="s">
        <v>42</v>
      </c>
      <c r="G88" s="1">
        <f t="shared" si="16"/>
        <v>30485000</v>
      </c>
      <c r="H88" s="1">
        <f>31500000-1015000</f>
        <v>30485000</v>
      </c>
      <c r="I88" s="45"/>
      <c r="J88" s="45"/>
      <c r="K88" s="45"/>
      <c r="L88" s="1">
        <f t="shared" si="13"/>
        <v>0</v>
      </c>
      <c r="M88" s="45"/>
      <c r="N88" s="45"/>
      <c r="O88" s="45"/>
      <c r="P88" s="45"/>
      <c r="Q88" s="45"/>
      <c r="R88" s="45"/>
      <c r="S88" s="59">
        <f t="shared" si="5"/>
        <v>30485000</v>
      </c>
      <c r="T88" s="125"/>
      <c r="V88" s="61"/>
    </row>
    <row r="89" spans="1:22" s="71" customFormat="1" ht="69" customHeight="1">
      <c r="A89" s="11" t="s">
        <v>296</v>
      </c>
      <c r="B89" s="11" t="s">
        <v>294</v>
      </c>
      <c r="C89" s="26">
        <v>1513044</v>
      </c>
      <c r="D89" s="11" t="s">
        <v>101</v>
      </c>
      <c r="E89" s="23" t="s">
        <v>166</v>
      </c>
      <c r="F89" s="27" t="s">
        <v>40</v>
      </c>
      <c r="G89" s="1">
        <f t="shared" si="16"/>
        <v>4000000</v>
      </c>
      <c r="H89" s="1">
        <v>4000000</v>
      </c>
      <c r="I89" s="45"/>
      <c r="J89" s="45"/>
      <c r="K89" s="45"/>
      <c r="L89" s="1">
        <f t="shared" si="13"/>
        <v>0</v>
      </c>
      <c r="M89" s="45"/>
      <c r="N89" s="45"/>
      <c r="O89" s="45"/>
      <c r="P89" s="45"/>
      <c r="Q89" s="45"/>
      <c r="R89" s="45"/>
      <c r="S89" s="59">
        <f t="shared" si="5"/>
        <v>4000000</v>
      </c>
      <c r="T89" s="125"/>
      <c r="V89" s="61"/>
    </row>
    <row r="90" spans="1:22" s="71" customFormat="1" ht="40.5" customHeight="1">
      <c r="A90" s="11" t="s">
        <v>298</v>
      </c>
      <c r="B90" s="11" t="s">
        <v>297</v>
      </c>
      <c r="C90" s="26">
        <v>1513045</v>
      </c>
      <c r="D90" s="11" t="s">
        <v>101</v>
      </c>
      <c r="E90" s="23" t="s">
        <v>167</v>
      </c>
      <c r="F90" s="27" t="s">
        <v>52</v>
      </c>
      <c r="G90" s="1">
        <f t="shared" si="16"/>
        <v>11700000</v>
      </c>
      <c r="H90" s="45">
        <v>11700000</v>
      </c>
      <c r="I90" s="45"/>
      <c r="J90" s="45"/>
      <c r="K90" s="45"/>
      <c r="L90" s="1">
        <f t="shared" si="13"/>
        <v>0</v>
      </c>
      <c r="M90" s="45"/>
      <c r="N90" s="45"/>
      <c r="O90" s="45"/>
      <c r="P90" s="45"/>
      <c r="Q90" s="45"/>
      <c r="R90" s="45"/>
      <c r="S90" s="59">
        <f t="shared" si="5"/>
        <v>11700000</v>
      </c>
      <c r="T90" s="125"/>
      <c r="V90" s="61"/>
    </row>
    <row r="91" spans="1:22" s="71" customFormat="1" ht="60.75" customHeight="1">
      <c r="A91" s="11" t="s">
        <v>300</v>
      </c>
      <c r="B91" s="11" t="s">
        <v>299</v>
      </c>
      <c r="C91" s="26">
        <v>1513046</v>
      </c>
      <c r="D91" s="11" t="s">
        <v>101</v>
      </c>
      <c r="E91" s="23" t="s">
        <v>168</v>
      </c>
      <c r="F91" s="27" t="s">
        <v>27</v>
      </c>
      <c r="G91" s="1">
        <f t="shared" si="16"/>
        <v>320000</v>
      </c>
      <c r="H91" s="45">
        <v>320000</v>
      </c>
      <c r="I91" s="45"/>
      <c r="J91" s="45"/>
      <c r="K91" s="45"/>
      <c r="L91" s="1">
        <f t="shared" si="13"/>
        <v>0</v>
      </c>
      <c r="M91" s="45"/>
      <c r="N91" s="45"/>
      <c r="O91" s="45"/>
      <c r="P91" s="45"/>
      <c r="Q91" s="45"/>
      <c r="R91" s="45"/>
      <c r="S91" s="59">
        <f t="shared" si="5"/>
        <v>320000</v>
      </c>
      <c r="T91" s="125"/>
      <c r="V91" s="61"/>
    </row>
    <row r="92" spans="1:22" s="71" customFormat="1" ht="61.5" customHeight="1">
      <c r="A92" s="11" t="s">
        <v>302</v>
      </c>
      <c r="B92" s="11" t="s">
        <v>446</v>
      </c>
      <c r="C92" s="26">
        <v>1513048</v>
      </c>
      <c r="D92" s="11" t="s">
        <v>101</v>
      </c>
      <c r="E92" s="23" t="s">
        <v>170</v>
      </c>
      <c r="F92" s="27" t="s">
        <v>41</v>
      </c>
      <c r="G92" s="1">
        <f t="shared" si="16"/>
        <v>18400000</v>
      </c>
      <c r="H92" s="45">
        <v>18400000</v>
      </c>
      <c r="I92" s="45"/>
      <c r="J92" s="45"/>
      <c r="K92" s="45"/>
      <c r="L92" s="1">
        <f t="shared" si="13"/>
        <v>0</v>
      </c>
      <c r="M92" s="45"/>
      <c r="N92" s="45"/>
      <c r="O92" s="45"/>
      <c r="P92" s="45"/>
      <c r="Q92" s="45"/>
      <c r="R92" s="45"/>
      <c r="S92" s="59">
        <f t="shared" si="5"/>
        <v>18400000</v>
      </c>
      <c r="T92" s="125"/>
      <c r="V92" s="61"/>
    </row>
    <row r="93" spans="1:22" s="71" customFormat="1" ht="321.75" customHeight="1">
      <c r="A93" s="8" t="s">
        <v>304</v>
      </c>
      <c r="B93" s="8" t="s">
        <v>303</v>
      </c>
      <c r="C93" s="33">
        <v>1513080</v>
      </c>
      <c r="D93" s="8"/>
      <c r="E93" s="34" t="s">
        <v>403</v>
      </c>
      <c r="F93" s="27" t="s">
        <v>80</v>
      </c>
      <c r="G93" s="1">
        <f t="shared" si="16"/>
        <v>35318200</v>
      </c>
      <c r="H93" s="1">
        <f>H94+H95+H96+H97+H98</f>
        <v>35318200</v>
      </c>
      <c r="I93" s="127"/>
      <c r="J93" s="115"/>
      <c r="K93" s="115"/>
      <c r="L93" s="1">
        <f t="shared" si="13"/>
        <v>0</v>
      </c>
      <c r="M93" s="115"/>
      <c r="N93" s="45"/>
      <c r="O93" s="115"/>
      <c r="P93" s="115"/>
      <c r="Q93" s="115"/>
      <c r="R93" s="115"/>
      <c r="S93" s="59">
        <f t="shared" si="5"/>
        <v>35318200</v>
      </c>
      <c r="T93" s="125"/>
      <c r="V93" s="61"/>
    </row>
    <row r="94" spans="1:22" s="71" customFormat="1" ht="93" customHeight="1">
      <c r="A94" s="11" t="s">
        <v>419</v>
      </c>
      <c r="B94" s="11" t="s">
        <v>447</v>
      </c>
      <c r="C94" s="26">
        <v>1503049</v>
      </c>
      <c r="D94" s="11" t="s">
        <v>115</v>
      </c>
      <c r="E94" s="23" t="s">
        <v>424</v>
      </c>
      <c r="F94" s="27"/>
      <c r="G94" s="1">
        <f t="shared" si="16"/>
        <v>27039000</v>
      </c>
      <c r="H94" s="1">
        <v>27039000</v>
      </c>
      <c r="I94" s="127"/>
      <c r="J94" s="115"/>
      <c r="K94" s="115"/>
      <c r="L94" s="1">
        <f t="shared" si="13"/>
        <v>0</v>
      </c>
      <c r="M94" s="115"/>
      <c r="N94" s="45"/>
      <c r="O94" s="115"/>
      <c r="P94" s="115"/>
      <c r="Q94" s="115"/>
      <c r="R94" s="115"/>
      <c r="S94" s="59">
        <f t="shared" si="5"/>
        <v>27039000</v>
      </c>
      <c r="T94" s="125"/>
      <c r="V94" s="61"/>
    </row>
    <row r="95" spans="1:22" s="71" customFormat="1" ht="125.25" customHeight="1">
      <c r="A95" s="11" t="s">
        <v>420</v>
      </c>
      <c r="B95" s="11"/>
      <c r="C95" s="26"/>
      <c r="D95" s="11" t="s">
        <v>115</v>
      </c>
      <c r="E95" s="23" t="s">
        <v>425</v>
      </c>
      <c r="F95" s="27"/>
      <c r="G95" s="1">
        <f t="shared" si="16"/>
        <v>3559470</v>
      </c>
      <c r="H95" s="1">
        <v>3559470</v>
      </c>
      <c r="I95" s="127"/>
      <c r="J95" s="115"/>
      <c r="K95" s="115"/>
      <c r="L95" s="1">
        <f t="shared" si="13"/>
        <v>0</v>
      </c>
      <c r="M95" s="115"/>
      <c r="N95" s="45"/>
      <c r="O95" s="115"/>
      <c r="P95" s="115"/>
      <c r="Q95" s="115"/>
      <c r="R95" s="115"/>
      <c r="S95" s="59">
        <f t="shared" si="5"/>
        <v>3559470</v>
      </c>
      <c r="T95" s="125"/>
      <c r="V95" s="61"/>
    </row>
    <row r="96" spans="1:22" s="71" customFormat="1" ht="102.75" customHeight="1">
      <c r="A96" s="11" t="s">
        <v>421</v>
      </c>
      <c r="B96" s="11" t="s">
        <v>303</v>
      </c>
      <c r="C96" s="26">
        <v>1513080</v>
      </c>
      <c r="D96" s="11" t="s">
        <v>115</v>
      </c>
      <c r="E96" s="23" t="s">
        <v>426</v>
      </c>
      <c r="F96" s="27"/>
      <c r="G96" s="1">
        <f t="shared" si="16"/>
        <v>4279200</v>
      </c>
      <c r="H96" s="1">
        <v>4279200</v>
      </c>
      <c r="I96" s="127"/>
      <c r="J96" s="115"/>
      <c r="K96" s="115"/>
      <c r="L96" s="1">
        <f t="shared" si="13"/>
        <v>0</v>
      </c>
      <c r="M96" s="115"/>
      <c r="N96" s="45"/>
      <c r="O96" s="115"/>
      <c r="P96" s="115"/>
      <c r="Q96" s="115"/>
      <c r="R96" s="115"/>
      <c r="S96" s="59">
        <f t="shared" si="5"/>
        <v>4279200</v>
      </c>
      <c r="T96" s="125"/>
      <c r="V96" s="61"/>
    </row>
    <row r="97" spans="1:22" s="71" customFormat="1" ht="132.75" customHeight="1">
      <c r="A97" s="11" t="s">
        <v>422</v>
      </c>
      <c r="B97" s="11"/>
      <c r="C97" s="26"/>
      <c r="D97" s="11" t="s">
        <v>115</v>
      </c>
      <c r="E97" s="23" t="s">
        <v>427</v>
      </c>
      <c r="F97" s="27"/>
      <c r="G97" s="1">
        <f t="shared" si="16"/>
        <v>340500</v>
      </c>
      <c r="H97" s="1">
        <v>340500</v>
      </c>
      <c r="I97" s="127"/>
      <c r="J97" s="115"/>
      <c r="K97" s="115"/>
      <c r="L97" s="1">
        <f t="shared" si="13"/>
        <v>0</v>
      </c>
      <c r="M97" s="115"/>
      <c r="N97" s="45"/>
      <c r="O97" s="115"/>
      <c r="P97" s="115"/>
      <c r="Q97" s="115"/>
      <c r="R97" s="115"/>
      <c r="S97" s="59">
        <f t="shared" si="5"/>
        <v>340500</v>
      </c>
      <c r="T97" s="125"/>
      <c r="V97" s="61"/>
    </row>
    <row r="98" spans="1:22" s="71" customFormat="1" ht="136.5" customHeight="1">
      <c r="A98" s="11" t="s">
        <v>423</v>
      </c>
      <c r="B98" s="11"/>
      <c r="C98" s="26"/>
      <c r="D98" s="11" t="s">
        <v>115</v>
      </c>
      <c r="E98" s="23" t="s">
        <v>428</v>
      </c>
      <c r="F98" s="27"/>
      <c r="G98" s="1">
        <f t="shared" si="16"/>
        <v>100030</v>
      </c>
      <c r="H98" s="1">
        <v>100030</v>
      </c>
      <c r="I98" s="127"/>
      <c r="J98" s="115"/>
      <c r="K98" s="115"/>
      <c r="L98" s="1">
        <f t="shared" si="13"/>
        <v>0</v>
      </c>
      <c r="M98" s="115"/>
      <c r="N98" s="45"/>
      <c r="O98" s="115"/>
      <c r="P98" s="115"/>
      <c r="Q98" s="115"/>
      <c r="R98" s="115"/>
      <c r="S98" s="59">
        <f t="shared" si="5"/>
        <v>100030</v>
      </c>
      <c r="T98" s="125"/>
      <c r="V98" s="61"/>
    </row>
    <row r="99" spans="1:22" s="71" customFormat="1" ht="93.75" customHeight="1">
      <c r="A99" s="11" t="s">
        <v>285</v>
      </c>
      <c r="B99" s="11" t="s">
        <v>284</v>
      </c>
      <c r="C99" s="26">
        <v>1513016</v>
      </c>
      <c r="D99" s="11" t="s">
        <v>114</v>
      </c>
      <c r="E99" s="23" t="s">
        <v>171</v>
      </c>
      <c r="F99" s="27" t="s">
        <v>39</v>
      </c>
      <c r="G99" s="1">
        <f t="shared" si="16"/>
        <v>193149600</v>
      </c>
      <c r="H99" s="1">
        <v>193149600</v>
      </c>
      <c r="I99" s="1"/>
      <c r="J99" s="45"/>
      <c r="K99" s="45"/>
      <c r="L99" s="1">
        <f t="shared" si="13"/>
        <v>0</v>
      </c>
      <c r="M99" s="45"/>
      <c r="N99" s="45"/>
      <c r="O99" s="45"/>
      <c r="P99" s="45"/>
      <c r="Q99" s="45"/>
      <c r="R99" s="45"/>
      <c r="S99" s="59">
        <f t="shared" ref="S99:S165" si="18">G99+L99</f>
        <v>193149600</v>
      </c>
      <c r="T99" s="125"/>
      <c r="V99" s="61"/>
    </row>
    <row r="100" spans="1:22" s="71" customFormat="1" ht="120" customHeight="1">
      <c r="A100" s="11" t="s">
        <v>287</v>
      </c>
      <c r="B100" s="11" t="s">
        <v>286</v>
      </c>
      <c r="C100" s="26">
        <v>1513026</v>
      </c>
      <c r="D100" s="11" t="s">
        <v>114</v>
      </c>
      <c r="E100" s="23" t="s">
        <v>172</v>
      </c>
      <c r="F100" s="27" t="s">
        <v>70</v>
      </c>
      <c r="G100" s="1">
        <f t="shared" si="16"/>
        <v>717200</v>
      </c>
      <c r="H100" s="117">
        <v>717200</v>
      </c>
      <c r="I100" s="45"/>
      <c r="J100" s="45"/>
      <c r="K100" s="45"/>
      <c r="L100" s="1">
        <f t="shared" si="13"/>
        <v>0</v>
      </c>
      <c r="M100" s="45"/>
      <c r="N100" s="45"/>
      <c r="O100" s="45"/>
      <c r="P100" s="45"/>
      <c r="Q100" s="45"/>
      <c r="R100" s="45"/>
      <c r="S100" s="59">
        <f t="shared" si="18"/>
        <v>717200</v>
      </c>
      <c r="T100" s="125"/>
      <c r="V100" s="61"/>
    </row>
    <row r="101" spans="1:22" s="71" customFormat="1" ht="36" hidden="1" customHeight="1">
      <c r="A101" s="28"/>
      <c r="B101" s="28"/>
      <c r="C101" s="26">
        <v>90407</v>
      </c>
      <c r="D101" s="11"/>
      <c r="E101" s="18"/>
      <c r="F101" s="27" t="s">
        <v>75</v>
      </c>
      <c r="G101" s="1">
        <f t="shared" si="16"/>
        <v>0</v>
      </c>
      <c r="H101" s="45"/>
      <c r="I101" s="45"/>
      <c r="J101" s="45"/>
      <c r="K101" s="45"/>
      <c r="L101" s="1">
        <f t="shared" si="13"/>
        <v>0</v>
      </c>
      <c r="M101" s="45"/>
      <c r="N101" s="45"/>
      <c r="O101" s="45"/>
      <c r="P101" s="45"/>
      <c r="Q101" s="45"/>
      <c r="R101" s="45"/>
      <c r="S101" s="59">
        <f t="shared" si="18"/>
        <v>0</v>
      </c>
      <c r="T101" s="125"/>
      <c r="V101" s="61"/>
    </row>
    <row r="102" spans="1:22" s="71" customFormat="1" ht="75" customHeight="1">
      <c r="A102" s="11" t="s">
        <v>366</v>
      </c>
      <c r="B102" s="11" t="s">
        <v>448</v>
      </c>
      <c r="C102" s="26">
        <v>1513033</v>
      </c>
      <c r="D102" s="11" t="s">
        <v>112</v>
      </c>
      <c r="E102" s="18" t="s">
        <v>373</v>
      </c>
      <c r="F102" s="27"/>
      <c r="G102" s="1">
        <f t="shared" si="16"/>
        <v>0</v>
      </c>
      <c r="H102" s="45">
        <v>0</v>
      </c>
      <c r="I102" s="45"/>
      <c r="J102" s="45"/>
      <c r="K102" s="45"/>
      <c r="L102" s="1">
        <f t="shared" si="13"/>
        <v>0</v>
      </c>
      <c r="M102" s="45"/>
      <c r="N102" s="45"/>
      <c r="O102" s="45"/>
      <c r="P102" s="45"/>
      <c r="Q102" s="45"/>
      <c r="R102" s="45"/>
      <c r="S102" s="59">
        <f t="shared" si="18"/>
        <v>0</v>
      </c>
      <c r="T102" s="125"/>
      <c r="V102" s="61"/>
    </row>
    <row r="103" spans="1:22" s="71" customFormat="1" ht="59.25" customHeight="1">
      <c r="A103" s="11" t="s">
        <v>367</v>
      </c>
      <c r="B103" s="11" t="s">
        <v>449</v>
      </c>
      <c r="C103" s="26">
        <v>1513034</v>
      </c>
      <c r="D103" s="11" t="s">
        <v>113</v>
      </c>
      <c r="E103" s="18" t="s">
        <v>370</v>
      </c>
      <c r="F103" s="27"/>
      <c r="G103" s="1">
        <f t="shared" si="16"/>
        <v>469116</v>
      </c>
      <c r="H103" s="45">
        <v>469116</v>
      </c>
      <c r="I103" s="45"/>
      <c r="J103" s="45"/>
      <c r="K103" s="45"/>
      <c r="L103" s="1">
        <f t="shared" si="13"/>
        <v>0</v>
      </c>
      <c r="M103" s="45"/>
      <c r="N103" s="45"/>
      <c r="O103" s="45"/>
      <c r="P103" s="45"/>
      <c r="Q103" s="45"/>
      <c r="R103" s="45"/>
      <c r="S103" s="59">
        <f t="shared" si="18"/>
        <v>469116</v>
      </c>
      <c r="T103" s="125"/>
      <c r="V103" s="61"/>
    </row>
    <row r="104" spans="1:22" s="71" customFormat="1" ht="93" customHeight="1">
      <c r="A104" s="11" t="s">
        <v>368</v>
      </c>
      <c r="B104" s="11" t="s">
        <v>375</v>
      </c>
      <c r="C104" s="26">
        <v>1513035</v>
      </c>
      <c r="D104" s="11" t="s">
        <v>113</v>
      </c>
      <c r="E104" s="18" t="s">
        <v>371</v>
      </c>
      <c r="F104" s="27"/>
      <c r="G104" s="1">
        <f t="shared" si="16"/>
        <v>959100</v>
      </c>
      <c r="H104" s="45">
        <f>1200000-440900+200000</f>
        <v>959100</v>
      </c>
      <c r="I104" s="45"/>
      <c r="J104" s="45"/>
      <c r="K104" s="45"/>
      <c r="L104" s="1">
        <f t="shared" si="13"/>
        <v>0</v>
      </c>
      <c r="M104" s="45"/>
      <c r="N104" s="45"/>
      <c r="O104" s="45"/>
      <c r="P104" s="45"/>
      <c r="Q104" s="45"/>
      <c r="R104" s="45"/>
      <c r="S104" s="59">
        <f t="shared" si="18"/>
        <v>959100</v>
      </c>
      <c r="T104" s="125"/>
      <c r="V104" s="61"/>
    </row>
    <row r="105" spans="1:22" s="71" customFormat="1" ht="84.75" customHeight="1">
      <c r="A105" s="11" t="s">
        <v>369</v>
      </c>
      <c r="B105" s="11" t="s">
        <v>374</v>
      </c>
      <c r="C105" s="26">
        <v>1513037</v>
      </c>
      <c r="D105" s="11" t="s">
        <v>113</v>
      </c>
      <c r="E105" s="18" t="s">
        <v>372</v>
      </c>
      <c r="F105" s="27"/>
      <c r="G105" s="1">
        <f t="shared" si="16"/>
        <v>149900</v>
      </c>
      <c r="H105" s="45">
        <f>200000-50100</f>
        <v>149900</v>
      </c>
      <c r="I105" s="45"/>
      <c r="J105" s="45"/>
      <c r="K105" s="45"/>
      <c r="L105" s="1">
        <f t="shared" si="13"/>
        <v>0</v>
      </c>
      <c r="M105" s="45"/>
      <c r="N105" s="45"/>
      <c r="O105" s="45"/>
      <c r="P105" s="45"/>
      <c r="Q105" s="45"/>
      <c r="R105" s="45"/>
      <c r="S105" s="59">
        <f t="shared" si="18"/>
        <v>149900</v>
      </c>
      <c r="T105" s="125"/>
      <c r="V105" s="61"/>
    </row>
    <row r="106" spans="1:22" s="71" customFormat="1" ht="59.25" customHeight="1">
      <c r="A106" s="11" t="s">
        <v>306</v>
      </c>
      <c r="B106" s="11" t="s">
        <v>305</v>
      </c>
      <c r="C106" s="26">
        <v>1513090</v>
      </c>
      <c r="D106" s="11" t="s">
        <v>112</v>
      </c>
      <c r="E106" s="23" t="s">
        <v>404</v>
      </c>
      <c r="F106" s="27" t="s">
        <v>53</v>
      </c>
      <c r="G106" s="1">
        <f t="shared" si="16"/>
        <v>102500</v>
      </c>
      <c r="H106" s="45">
        <f>42500+60000</f>
        <v>102500</v>
      </c>
      <c r="I106" s="45"/>
      <c r="J106" s="45"/>
      <c r="K106" s="45"/>
      <c r="L106" s="1">
        <f t="shared" si="13"/>
        <v>0</v>
      </c>
      <c r="M106" s="45"/>
      <c r="N106" s="45"/>
      <c r="O106" s="45"/>
      <c r="P106" s="45"/>
      <c r="Q106" s="45"/>
      <c r="R106" s="45"/>
      <c r="S106" s="59">
        <f t="shared" si="18"/>
        <v>102500</v>
      </c>
      <c r="T106" s="125"/>
      <c r="V106" s="61"/>
    </row>
    <row r="107" spans="1:22" s="49" customFormat="1" ht="65.25" customHeight="1">
      <c r="A107" s="11" t="s">
        <v>430</v>
      </c>
      <c r="B107" s="11" t="s">
        <v>213</v>
      </c>
      <c r="C107" s="26">
        <v>1513400</v>
      </c>
      <c r="D107" s="11" t="s">
        <v>100</v>
      </c>
      <c r="E107" s="18" t="s">
        <v>392</v>
      </c>
      <c r="F107" s="27"/>
      <c r="G107" s="1">
        <f>H107</f>
        <v>491000</v>
      </c>
      <c r="H107" s="45">
        <f>1400000-1400000+491000</f>
        <v>491000</v>
      </c>
      <c r="I107" s="115"/>
      <c r="J107" s="115"/>
      <c r="K107" s="115"/>
      <c r="L107" s="1">
        <f t="shared" si="13"/>
        <v>0</v>
      </c>
      <c r="M107" s="115"/>
      <c r="N107" s="45"/>
      <c r="O107" s="115"/>
      <c r="P107" s="115"/>
      <c r="Q107" s="115"/>
      <c r="R107" s="115"/>
      <c r="S107" s="59">
        <f t="shared" si="18"/>
        <v>491000</v>
      </c>
      <c r="T107" s="120"/>
      <c r="V107" s="51"/>
    </row>
    <row r="108" spans="1:22" s="49" customFormat="1" ht="118.5" customHeight="1">
      <c r="A108" s="11" t="s">
        <v>309</v>
      </c>
      <c r="B108" s="11" t="s">
        <v>308</v>
      </c>
      <c r="C108" s="26">
        <v>1513104</v>
      </c>
      <c r="D108" s="11" t="s">
        <v>116</v>
      </c>
      <c r="E108" s="23" t="s">
        <v>173</v>
      </c>
      <c r="F108" s="27" t="s">
        <v>89</v>
      </c>
      <c r="G108" s="1">
        <f t="shared" si="16"/>
        <v>5063500</v>
      </c>
      <c r="H108" s="45">
        <v>5063500</v>
      </c>
      <c r="I108" s="115">
        <v>4601600</v>
      </c>
      <c r="J108" s="115">
        <v>357340</v>
      </c>
      <c r="K108" s="115"/>
      <c r="L108" s="1">
        <f t="shared" si="13"/>
        <v>140000</v>
      </c>
      <c r="M108" s="115">
        <v>90000</v>
      </c>
      <c r="N108" s="45">
        <v>67100</v>
      </c>
      <c r="O108" s="115">
        <v>3250</v>
      </c>
      <c r="P108" s="115">
        <v>50000</v>
      </c>
      <c r="Q108" s="115">
        <f>P108</f>
        <v>50000</v>
      </c>
      <c r="R108" s="115">
        <f>Q108</f>
        <v>50000</v>
      </c>
      <c r="S108" s="59">
        <f t="shared" si="18"/>
        <v>5203500</v>
      </c>
      <c r="T108" s="120"/>
      <c r="V108" s="51"/>
    </row>
    <row r="109" spans="1:22" s="49" customFormat="1" ht="60.75" customHeight="1">
      <c r="A109" s="11" t="s">
        <v>310</v>
      </c>
      <c r="B109" s="11" t="s">
        <v>46</v>
      </c>
      <c r="C109" s="11" t="s">
        <v>136</v>
      </c>
      <c r="D109" s="11" t="s">
        <v>115</v>
      </c>
      <c r="E109" s="23" t="s">
        <v>405</v>
      </c>
      <c r="F109" s="17" t="s">
        <v>47</v>
      </c>
      <c r="G109" s="1">
        <f t="shared" si="16"/>
        <v>1432700</v>
      </c>
      <c r="H109" s="45">
        <f>1266500+166200</f>
        <v>1432700</v>
      </c>
      <c r="I109" s="115">
        <f>1013800+166200</f>
        <v>1180000</v>
      </c>
      <c r="J109" s="115">
        <v>152680</v>
      </c>
      <c r="K109" s="115"/>
      <c r="L109" s="1">
        <f t="shared" si="13"/>
        <v>0</v>
      </c>
      <c r="M109" s="115"/>
      <c r="N109" s="77"/>
      <c r="O109" s="115"/>
      <c r="P109" s="115"/>
      <c r="Q109" s="115"/>
      <c r="R109" s="115"/>
      <c r="S109" s="59">
        <f t="shared" si="18"/>
        <v>1432700</v>
      </c>
      <c r="T109" s="120"/>
      <c r="V109" s="51"/>
    </row>
    <row r="110" spans="1:22" s="49" customFormat="1" ht="175.5" customHeight="1">
      <c r="A110" s="11" t="s">
        <v>442</v>
      </c>
      <c r="B110" s="11" t="s">
        <v>444</v>
      </c>
      <c r="C110" s="11" t="s">
        <v>443</v>
      </c>
      <c r="D110" s="11" t="s">
        <v>115</v>
      </c>
      <c r="E110" s="35" t="s">
        <v>445</v>
      </c>
      <c r="F110" s="17"/>
      <c r="G110" s="1">
        <f t="shared" si="16"/>
        <v>220000</v>
      </c>
      <c r="H110" s="45">
        <v>220000</v>
      </c>
      <c r="I110" s="115"/>
      <c r="J110" s="115"/>
      <c r="K110" s="115"/>
      <c r="L110" s="1">
        <f t="shared" si="13"/>
        <v>0</v>
      </c>
      <c r="M110" s="115"/>
      <c r="N110" s="77"/>
      <c r="O110" s="115"/>
      <c r="P110" s="115"/>
      <c r="Q110" s="115"/>
      <c r="R110" s="115"/>
      <c r="S110" s="59">
        <f t="shared" si="18"/>
        <v>220000</v>
      </c>
      <c r="T110" s="120"/>
      <c r="V110" s="51"/>
    </row>
    <row r="111" spans="1:22" s="49" customFormat="1" ht="177.75" customHeight="1">
      <c r="A111" s="11" t="s">
        <v>406</v>
      </c>
      <c r="B111" s="11" t="s">
        <v>311</v>
      </c>
      <c r="C111" s="26">
        <v>1513190</v>
      </c>
      <c r="D111" s="11" t="s">
        <v>114</v>
      </c>
      <c r="E111" s="23" t="s">
        <v>407</v>
      </c>
      <c r="F111" s="27" t="s">
        <v>6</v>
      </c>
      <c r="G111" s="1">
        <f t="shared" si="16"/>
        <v>242900</v>
      </c>
      <c r="H111" s="45">
        <v>242900</v>
      </c>
      <c r="I111" s="115"/>
      <c r="J111" s="115"/>
      <c r="K111" s="115"/>
      <c r="L111" s="1">
        <f t="shared" si="13"/>
        <v>0</v>
      </c>
      <c r="M111" s="115"/>
      <c r="N111" s="45"/>
      <c r="O111" s="115"/>
      <c r="P111" s="115"/>
      <c r="Q111" s="115"/>
      <c r="R111" s="115"/>
      <c r="S111" s="59">
        <f t="shared" si="18"/>
        <v>242900</v>
      </c>
      <c r="T111" s="120"/>
      <c r="V111" s="51"/>
    </row>
    <row r="112" spans="1:22" s="49" customFormat="1" ht="129.75" customHeight="1">
      <c r="A112" s="11" t="s">
        <v>408</v>
      </c>
      <c r="B112" s="11" t="s">
        <v>313</v>
      </c>
      <c r="C112" s="26">
        <v>1513202</v>
      </c>
      <c r="D112" s="11" t="s">
        <v>112</v>
      </c>
      <c r="E112" s="23" t="s">
        <v>409</v>
      </c>
      <c r="F112" s="27" t="s">
        <v>82</v>
      </c>
      <c r="G112" s="1">
        <f t="shared" si="16"/>
        <v>80000</v>
      </c>
      <c r="H112" s="45">
        <v>80000</v>
      </c>
      <c r="I112" s="115"/>
      <c r="J112" s="115"/>
      <c r="K112" s="115"/>
      <c r="L112" s="1">
        <f t="shared" si="13"/>
        <v>0</v>
      </c>
      <c r="M112" s="115"/>
      <c r="N112" s="45"/>
      <c r="O112" s="115"/>
      <c r="P112" s="115"/>
      <c r="Q112" s="115"/>
      <c r="R112" s="115"/>
      <c r="S112" s="59">
        <f t="shared" si="18"/>
        <v>80000</v>
      </c>
      <c r="T112" s="120"/>
      <c r="V112" s="51"/>
    </row>
    <row r="113" spans="1:22" s="71" customFormat="1" ht="27.75" hidden="1" customHeight="1">
      <c r="A113" s="11" t="s">
        <v>141</v>
      </c>
      <c r="B113" s="11"/>
      <c r="C113" s="26">
        <v>91210</v>
      </c>
      <c r="D113" s="11" t="s">
        <v>142</v>
      </c>
      <c r="E113" s="18"/>
      <c r="F113" s="27" t="s">
        <v>18</v>
      </c>
      <c r="G113" s="1">
        <f t="shared" si="16"/>
        <v>0</v>
      </c>
      <c r="H113" s="45">
        <f>H114</f>
        <v>0</v>
      </c>
      <c r="I113" s="45"/>
      <c r="J113" s="45"/>
      <c r="K113" s="45"/>
      <c r="L113" s="1">
        <f t="shared" si="13"/>
        <v>0</v>
      </c>
      <c r="M113" s="45"/>
      <c r="N113" s="45"/>
      <c r="O113" s="45"/>
      <c r="P113" s="45"/>
      <c r="Q113" s="45"/>
      <c r="R113" s="45"/>
      <c r="S113" s="59">
        <f t="shared" si="18"/>
        <v>0</v>
      </c>
      <c r="T113" s="125"/>
      <c r="V113" s="61"/>
    </row>
    <row r="114" spans="1:22" s="71" customFormat="1" ht="31.5" hidden="1" customHeight="1">
      <c r="A114" s="11" t="s">
        <v>143</v>
      </c>
      <c r="B114" s="11"/>
      <c r="C114" s="26">
        <v>91211</v>
      </c>
      <c r="D114" s="11" t="s">
        <v>144</v>
      </c>
      <c r="E114" s="18"/>
      <c r="F114" s="27" t="s">
        <v>62</v>
      </c>
      <c r="G114" s="1">
        <f t="shared" si="16"/>
        <v>0</v>
      </c>
      <c r="H114" s="45">
        <v>0</v>
      </c>
      <c r="I114" s="45"/>
      <c r="J114" s="45"/>
      <c r="K114" s="45"/>
      <c r="L114" s="1">
        <f t="shared" si="13"/>
        <v>0</v>
      </c>
      <c r="M114" s="45"/>
      <c r="N114" s="45"/>
      <c r="O114" s="45"/>
      <c r="P114" s="45"/>
      <c r="Q114" s="45"/>
      <c r="R114" s="45"/>
      <c r="S114" s="59">
        <f t="shared" si="18"/>
        <v>0</v>
      </c>
      <c r="T114" s="125"/>
      <c r="V114" s="61"/>
    </row>
    <row r="115" spans="1:22" s="71" customFormat="1" ht="28.5" hidden="1" customHeight="1">
      <c r="A115" s="11" t="s">
        <v>145</v>
      </c>
      <c r="B115" s="11"/>
      <c r="C115" s="26">
        <v>91212</v>
      </c>
      <c r="D115" s="11" t="s">
        <v>146</v>
      </c>
      <c r="E115" s="18"/>
      <c r="F115" s="27" t="s">
        <v>20</v>
      </c>
      <c r="G115" s="1">
        <f t="shared" si="16"/>
        <v>0</v>
      </c>
      <c r="H115" s="45">
        <f>H116</f>
        <v>0</v>
      </c>
      <c r="I115" s="45"/>
      <c r="J115" s="45"/>
      <c r="K115" s="45"/>
      <c r="L115" s="1">
        <f t="shared" si="13"/>
        <v>0</v>
      </c>
      <c r="M115" s="45"/>
      <c r="N115" s="45"/>
      <c r="O115" s="45"/>
      <c r="P115" s="45"/>
      <c r="Q115" s="45"/>
      <c r="R115" s="45"/>
      <c r="S115" s="59">
        <f t="shared" si="18"/>
        <v>0</v>
      </c>
      <c r="T115" s="125"/>
      <c r="V115" s="61"/>
    </row>
    <row r="116" spans="1:22" s="71" customFormat="1" ht="32.25" hidden="1" customHeight="1">
      <c r="A116" s="11" t="s">
        <v>147</v>
      </c>
      <c r="B116" s="11"/>
      <c r="C116" s="26">
        <v>91213</v>
      </c>
      <c r="D116" s="11" t="s">
        <v>148</v>
      </c>
      <c r="E116" s="18"/>
      <c r="F116" s="27" t="s">
        <v>63</v>
      </c>
      <c r="G116" s="1">
        <f t="shared" si="16"/>
        <v>0</v>
      </c>
      <c r="H116" s="45">
        <v>0</v>
      </c>
      <c r="I116" s="45"/>
      <c r="J116" s="45"/>
      <c r="K116" s="45"/>
      <c r="L116" s="1">
        <f t="shared" si="13"/>
        <v>0</v>
      </c>
      <c r="M116" s="45"/>
      <c r="N116" s="45"/>
      <c r="O116" s="45"/>
      <c r="P116" s="45"/>
      <c r="Q116" s="45"/>
      <c r="R116" s="45"/>
      <c r="S116" s="59">
        <f t="shared" si="18"/>
        <v>0</v>
      </c>
      <c r="T116" s="125"/>
      <c r="V116" s="61"/>
    </row>
    <row r="117" spans="1:22" s="71" customFormat="1" ht="87.75" customHeight="1">
      <c r="A117" s="8" t="s">
        <v>131</v>
      </c>
      <c r="B117" s="8"/>
      <c r="C117" s="8" t="s">
        <v>138</v>
      </c>
      <c r="D117" s="11"/>
      <c r="E117" s="29" t="s">
        <v>56</v>
      </c>
      <c r="F117" s="28" t="s">
        <v>56</v>
      </c>
      <c r="G117" s="1">
        <f>G118</f>
        <v>20631276</v>
      </c>
      <c r="H117" s="1">
        <f t="shared" ref="H117:S117" si="19">H118</f>
        <v>20631276</v>
      </c>
      <c r="I117" s="1">
        <f t="shared" si="19"/>
        <v>17023480</v>
      </c>
      <c r="J117" s="1">
        <f t="shared" si="19"/>
        <v>1851120</v>
      </c>
      <c r="K117" s="1">
        <f t="shared" si="19"/>
        <v>0</v>
      </c>
      <c r="L117" s="105">
        <f t="shared" si="19"/>
        <v>586000</v>
      </c>
      <c r="M117" s="1">
        <f t="shared" si="19"/>
        <v>548000</v>
      </c>
      <c r="N117" s="1">
        <f t="shared" si="19"/>
        <v>99430</v>
      </c>
      <c r="O117" s="1">
        <f t="shared" si="19"/>
        <v>0</v>
      </c>
      <c r="P117" s="1">
        <f t="shared" si="19"/>
        <v>38000</v>
      </c>
      <c r="Q117" s="1">
        <f t="shared" si="19"/>
        <v>38000</v>
      </c>
      <c r="R117" s="1">
        <f t="shared" si="19"/>
        <v>38000</v>
      </c>
      <c r="S117" s="1">
        <f t="shared" si="19"/>
        <v>21217276</v>
      </c>
      <c r="T117" s="125"/>
      <c r="V117" s="61"/>
    </row>
    <row r="118" spans="1:22" s="71" customFormat="1" ht="79.5" customHeight="1">
      <c r="A118" s="8" t="s">
        <v>249</v>
      </c>
      <c r="B118" s="8"/>
      <c r="C118" s="8" t="s">
        <v>317</v>
      </c>
      <c r="D118" s="11"/>
      <c r="E118" s="29" t="str">
        <f>E117</f>
        <v>Управління культури і туризму міської ради</v>
      </c>
      <c r="F118" s="28"/>
      <c r="G118" s="1">
        <f t="shared" ref="G118:R118" si="20">SUM(G119:G126)</f>
        <v>20631276</v>
      </c>
      <c r="H118" s="1">
        <f t="shared" si="20"/>
        <v>20631276</v>
      </c>
      <c r="I118" s="1">
        <f t="shared" si="20"/>
        <v>17023480</v>
      </c>
      <c r="J118" s="1">
        <f t="shared" si="20"/>
        <v>1851120</v>
      </c>
      <c r="K118" s="1">
        <f t="shared" si="20"/>
        <v>0</v>
      </c>
      <c r="L118" s="105">
        <f t="shared" si="20"/>
        <v>586000</v>
      </c>
      <c r="M118" s="1">
        <f t="shared" si="20"/>
        <v>548000</v>
      </c>
      <c r="N118" s="1">
        <f t="shared" si="20"/>
        <v>99430</v>
      </c>
      <c r="O118" s="1">
        <f t="shared" si="20"/>
        <v>0</v>
      </c>
      <c r="P118" s="1">
        <f t="shared" si="20"/>
        <v>38000</v>
      </c>
      <c r="Q118" s="1">
        <f t="shared" si="20"/>
        <v>38000</v>
      </c>
      <c r="R118" s="1">
        <f t="shared" si="20"/>
        <v>38000</v>
      </c>
      <c r="S118" s="59">
        <f t="shared" si="18"/>
        <v>21217276</v>
      </c>
      <c r="T118" s="125"/>
      <c r="V118" s="61"/>
    </row>
    <row r="119" spans="1:22" s="71" customFormat="1" ht="88.5" customHeight="1">
      <c r="A119" s="11" t="s">
        <v>322</v>
      </c>
      <c r="B119" s="11" t="s">
        <v>93</v>
      </c>
      <c r="C119" s="26">
        <v>2410180</v>
      </c>
      <c r="D119" s="11" t="s">
        <v>95</v>
      </c>
      <c r="E119" s="12" t="s">
        <v>181</v>
      </c>
      <c r="F119" s="27" t="s">
        <v>5</v>
      </c>
      <c r="G119" s="1">
        <f t="shared" ref="G119:G126" si="21">H119+K119</f>
        <v>993670</v>
      </c>
      <c r="H119" s="45">
        <f>829240+7430+150000+7000</f>
        <v>993670</v>
      </c>
      <c r="I119" s="115">
        <f>796950+7430+150000</f>
        <v>954380</v>
      </c>
      <c r="J119" s="115">
        <v>21390</v>
      </c>
      <c r="K119" s="115"/>
      <c r="L119" s="1">
        <f t="shared" si="13"/>
        <v>0</v>
      </c>
      <c r="M119" s="115"/>
      <c r="N119" s="45"/>
      <c r="O119" s="115"/>
      <c r="P119" s="115"/>
      <c r="Q119" s="115"/>
      <c r="R119" s="115"/>
      <c r="S119" s="59">
        <f t="shared" si="18"/>
        <v>993670</v>
      </c>
      <c r="T119" s="125"/>
      <c r="V119" s="61"/>
    </row>
    <row r="120" spans="1:22" s="71" customFormat="1" ht="60" customHeight="1">
      <c r="A120" s="11" t="s">
        <v>431</v>
      </c>
      <c r="B120" s="11"/>
      <c r="C120" s="26"/>
      <c r="D120" s="11" t="s">
        <v>106</v>
      </c>
      <c r="E120" s="12" t="s">
        <v>244</v>
      </c>
      <c r="F120" s="27"/>
      <c r="G120" s="1">
        <f t="shared" si="21"/>
        <v>27000</v>
      </c>
      <c r="H120" s="45">
        <v>27000</v>
      </c>
      <c r="I120" s="115"/>
      <c r="J120" s="115"/>
      <c r="K120" s="115"/>
      <c r="L120" s="1">
        <f t="shared" si="13"/>
        <v>0</v>
      </c>
      <c r="M120" s="115"/>
      <c r="N120" s="45"/>
      <c r="O120" s="115"/>
      <c r="P120" s="115"/>
      <c r="Q120" s="115"/>
      <c r="R120" s="115"/>
      <c r="S120" s="59">
        <f t="shared" si="18"/>
        <v>27000</v>
      </c>
      <c r="T120" s="125"/>
      <c r="V120" s="61"/>
    </row>
    <row r="121" spans="1:22" s="71" customFormat="1" ht="49.5" customHeight="1">
      <c r="A121" s="11" t="s">
        <v>323</v>
      </c>
      <c r="B121" s="11" t="s">
        <v>318</v>
      </c>
      <c r="C121" s="26">
        <v>2414060</v>
      </c>
      <c r="D121" s="11" t="s">
        <v>174</v>
      </c>
      <c r="E121" s="23" t="s">
        <v>324</v>
      </c>
      <c r="F121" s="68" t="s">
        <v>13</v>
      </c>
      <c r="G121" s="1">
        <f t="shared" si="21"/>
        <v>3052571</v>
      </c>
      <c r="H121" s="45">
        <f>2685720+196480+16500+140000+13871</f>
        <v>3052571</v>
      </c>
      <c r="I121" s="115">
        <f>2243700+196480+140000</f>
        <v>2580180</v>
      </c>
      <c r="J121" s="115">
        <v>402900</v>
      </c>
      <c r="K121" s="115"/>
      <c r="L121" s="1">
        <f t="shared" si="13"/>
        <v>41000</v>
      </c>
      <c r="M121" s="115">
        <v>3000</v>
      </c>
      <c r="N121" s="45"/>
      <c r="O121" s="115"/>
      <c r="P121" s="115">
        <v>38000</v>
      </c>
      <c r="Q121" s="115">
        <f t="shared" ref="Q121:R123" si="22">P121</f>
        <v>38000</v>
      </c>
      <c r="R121" s="115">
        <f t="shared" si="22"/>
        <v>38000</v>
      </c>
      <c r="S121" s="59">
        <f t="shared" si="18"/>
        <v>3093571</v>
      </c>
      <c r="T121" s="125"/>
      <c r="V121" s="61"/>
    </row>
    <row r="122" spans="1:22" s="71" customFormat="1" ht="48.75" customHeight="1">
      <c r="A122" s="11" t="s">
        <v>325</v>
      </c>
      <c r="B122" s="11" t="s">
        <v>319</v>
      </c>
      <c r="C122" s="26">
        <v>2414070</v>
      </c>
      <c r="D122" s="11" t="s">
        <v>174</v>
      </c>
      <c r="E122" s="23" t="s">
        <v>326</v>
      </c>
      <c r="F122" s="27" t="s">
        <v>14</v>
      </c>
      <c r="G122" s="1">
        <f t="shared" si="21"/>
        <v>1980265</v>
      </c>
      <c r="H122" s="45">
        <f>1577160+238500+22090+19515+95000+28000</f>
        <v>1980265</v>
      </c>
      <c r="I122" s="115">
        <f>1264910+238500+28000</f>
        <v>1531410</v>
      </c>
      <c r="J122" s="129">
        <v>266050</v>
      </c>
      <c r="K122" s="129"/>
      <c r="L122" s="1">
        <f t="shared" si="13"/>
        <v>50000</v>
      </c>
      <c r="M122" s="115">
        <v>50000</v>
      </c>
      <c r="N122" s="45">
        <v>12200</v>
      </c>
      <c r="O122" s="115"/>
      <c r="P122" s="115">
        <f>19515-19515</f>
        <v>0</v>
      </c>
      <c r="Q122" s="115">
        <f t="shared" si="22"/>
        <v>0</v>
      </c>
      <c r="R122" s="115">
        <f t="shared" si="22"/>
        <v>0</v>
      </c>
      <c r="S122" s="59">
        <f t="shared" si="18"/>
        <v>2030265</v>
      </c>
      <c r="T122" s="125"/>
      <c r="V122" s="61"/>
    </row>
    <row r="123" spans="1:22" s="71" customFormat="1" ht="99" customHeight="1">
      <c r="A123" s="11" t="s">
        <v>328</v>
      </c>
      <c r="B123" s="11" t="s">
        <v>320</v>
      </c>
      <c r="C123" s="26">
        <v>2414090</v>
      </c>
      <c r="D123" s="11" t="s">
        <v>119</v>
      </c>
      <c r="E123" s="23" t="s">
        <v>327</v>
      </c>
      <c r="F123" s="27" t="s">
        <v>15</v>
      </c>
      <c r="G123" s="1">
        <f t="shared" si="21"/>
        <v>1835740</v>
      </c>
      <c r="H123" s="45">
        <f>1413700+222040+200000</f>
        <v>1835740</v>
      </c>
      <c r="I123" s="115">
        <f>1118270+222040</f>
        <v>1340310</v>
      </c>
      <c r="J123" s="115">
        <v>283730</v>
      </c>
      <c r="K123" s="115"/>
      <c r="L123" s="1">
        <f t="shared" si="13"/>
        <v>35000</v>
      </c>
      <c r="M123" s="115">
        <v>35000</v>
      </c>
      <c r="N123" s="45">
        <v>1830</v>
      </c>
      <c r="O123" s="115"/>
      <c r="P123" s="115">
        <f>380000-380000</f>
        <v>0</v>
      </c>
      <c r="Q123" s="115">
        <f t="shared" si="22"/>
        <v>0</v>
      </c>
      <c r="R123" s="115">
        <f t="shared" si="22"/>
        <v>0</v>
      </c>
      <c r="S123" s="59">
        <f t="shared" si="18"/>
        <v>1870740</v>
      </c>
      <c r="T123" s="125"/>
      <c r="V123" s="61"/>
    </row>
    <row r="124" spans="1:22" s="71" customFormat="1" ht="134.25" customHeight="1">
      <c r="A124" s="11" t="s">
        <v>329</v>
      </c>
      <c r="B124" s="11" t="s">
        <v>321</v>
      </c>
      <c r="C124" s="26">
        <v>2414100</v>
      </c>
      <c r="D124" s="11" t="s">
        <v>109</v>
      </c>
      <c r="E124" s="23" t="s">
        <v>358</v>
      </c>
      <c r="F124" s="27" t="s">
        <v>16</v>
      </c>
      <c r="G124" s="1">
        <f t="shared" si="21"/>
        <v>11048730</v>
      </c>
      <c r="H124" s="45">
        <f>9781340+623690+22700+621000</f>
        <v>11048730</v>
      </c>
      <c r="I124" s="118">
        <f>8878210+623690+22700+621000</f>
        <v>10145600</v>
      </c>
      <c r="J124" s="115">
        <v>857050</v>
      </c>
      <c r="K124" s="115"/>
      <c r="L124" s="1">
        <f t="shared" si="13"/>
        <v>460000</v>
      </c>
      <c r="M124" s="115">
        <v>460000</v>
      </c>
      <c r="N124" s="45">
        <v>85400</v>
      </c>
      <c r="O124" s="115"/>
      <c r="P124" s="115"/>
      <c r="Q124" s="115"/>
      <c r="R124" s="115"/>
      <c r="S124" s="59">
        <f t="shared" si="18"/>
        <v>11508730</v>
      </c>
      <c r="T124" s="125"/>
      <c r="V124" s="61"/>
    </row>
    <row r="125" spans="1:22" s="71" customFormat="1" ht="71.25" customHeight="1">
      <c r="A125" s="11" t="s">
        <v>410</v>
      </c>
      <c r="B125" s="11" t="s">
        <v>411</v>
      </c>
      <c r="C125" s="26">
        <v>2414200</v>
      </c>
      <c r="D125" s="11" t="s">
        <v>118</v>
      </c>
      <c r="E125" s="23" t="s">
        <v>412</v>
      </c>
      <c r="F125" s="27"/>
      <c r="G125" s="1">
        <f t="shared" si="21"/>
        <v>527600</v>
      </c>
      <c r="H125" s="45">
        <f>454740+11860+61000</f>
        <v>527600</v>
      </c>
      <c r="I125" s="115">
        <f>398740+11860+61000</f>
        <v>471600</v>
      </c>
      <c r="J125" s="115">
        <v>20000</v>
      </c>
      <c r="K125" s="115"/>
      <c r="L125" s="1">
        <f t="shared" si="13"/>
        <v>0</v>
      </c>
      <c r="M125" s="115"/>
      <c r="N125" s="45"/>
      <c r="O125" s="115"/>
      <c r="P125" s="115"/>
      <c r="Q125" s="115"/>
      <c r="R125" s="115"/>
      <c r="S125" s="59">
        <f t="shared" si="18"/>
        <v>527600</v>
      </c>
      <c r="T125" s="125"/>
      <c r="V125" s="61"/>
    </row>
    <row r="126" spans="1:22" s="71" customFormat="1" ht="78.75" customHeight="1">
      <c r="A126" s="11" t="s">
        <v>413</v>
      </c>
      <c r="B126" s="11" t="s">
        <v>414</v>
      </c>
      <c r="C126" s="26">
        <v>2414040</v>
      </c>
      <c r="D126" s="11" t="s">
        <v>118</v>
      </c>
      <c r="E126" s="23" t="s">
        <v>415</v>
      </c>
      <c r="F126" s="27"/>
      <c r="G126" s="1">
        <f t="shared" si="21"/>
        <v>1165700</v>
      </c>
      <c r="H126" s="45">
        <f>450000+50000+250000+148000+33000+20000+144700+70000</f>
        <v>1165700</v>
      </c>
      <c r="I126" s="115"/>
      <c r="J126" s="115"/>
      <c r="K126" s="115"/>
      <c r="L126" s="1">
        <f t="shared" si="13"/>
        <v>0</v>
      </c>
      <c r="M126" s="115"/>
      <c r="N126" s="45"/>
      <c r="O126" s="115"/>
      <c r="P126" s="115"/>
      <c r="Q126" s="115"/>
      <c r="R126" s="115"/>
      <c r="S126" s="59">
        <f t="shared" si="18"/>
        <v>1165700</v>
      </c>
      <c r="T126" s="125"/>
      <c r="V126" s="61"/>
    </row>
    <row r="127" spans="1:22" s="71" customFormat="1" ht="102" customHeight="1">
      <c r="A127" s="8" t="s">
        <v>264</v>
      </c>
      <c r="B127" s="8"/>
      <c r="C127" s="8" t="s">
        <v>134</v>
      </c>
      <c r="D127" s="11"/>
      <c r="E127" s="29" t="s">
        <v>68</v>
      </c>
      <c r="F127" s="27"/>
      <c r="G127" s="1">
        <f>G128</f>
        <v>3612500</v>
      </c>
      <c r="H127" s="1">
        <f t="shared" ref="H127:R127" si="23">H128</f>
        <v>3612500</v>
      </c>
      <c r="I127" s="1">
        <f t="shared" si="23"/>
        <v>1755880</v>
      </c>
      <c r="J127" s="1">
        <f t="shared" si="23"/>
        <v>165820</v>
      </c>
      <c r="K127" s="1">
        <f t="shared" si="23"/>
        <v>0</v>
      </c>
      <c r="L127" s="1">
        <f t="shared" si="23"/>
        <v>543734</v>
      </c>
      <c r="M127" s="1">
        <f t="shared" si="23"/>
        <v>80000</v>
      </c>
      <c r="N127" s="1">
        <f t="shared" si="23"/>
        <v>50000</v>
      </c>
      <c r="O127" s="1">
        <f t="shared" si="23"/>
        <v>0</v>
      </c>
      <c r="P127" s="1">
        <f t="shared" si="23"/>
        <v>463734</v>
      </c>
      <c r="Q127" s="1">
        <f t="shared" si="23"/>
        <v>463734</v>
      </c>
      <c r="R127" s="1">
        <f t="shared" si="23"/>
        <v>463734</v>
      </c>
      <c r="S127" s="59">
        <f t="shared" si="18"/>
        <v>4156234</v>
      </c>
      <c r="T127" s="125"/>
      <c r="V127" s="61"/>
    </row>
    <row r="128" spans="1:22" s="71" customFormat="1" ht="102" customHeight="1">
      <c r="A128" s="8" t="s">
        <v>265</v>
      </c>
      <c r="B128" s="8"/>
      <c r="C128" s="8" t="s">
        <v>263</v>
      </c>
      <c r="D128" s="11"/>
      <c r="E128" s="29" t="str">
        <f>E127</f>
        <v>Відділ з питань фізичної культури та спорту Ніжинської міської ради</v>
      </c>
      <c r="F128" s="27"/>
      <c r="G128" s="45">
        <f>G129+G130+G131+G132+G133</f>
        <v>3612500</v>
      </c>
      <c r="H128" s="45">
        <f>H129+H130+H131+H132+H133</f>
        <v>3612500</v>
      </c>
      <c r="I128" s="45">
        <f>I129+I130+I131+I132+I133</f>
        <v>1755880</v>
      </c>
      <c r="J128" s="45">
        <f>J129+J130+J131+J132+J133</f>
        <v>165820</v>
      </c>
      <c r="K128" s="45">
        <f>K129+K130+K131+K132+K133</f>
        <v>0</v>
      </c>
      <c r="L128" s="45">
        <f t="shared" ref="L128:R128" si="24">L129+L130+L131+L132+L133+L134</f>
        <v>543734</v>
      </c>
      <c r="M128" s="45">
        <f t="shared" si="24"/>
        <v>80000</v>
      </c>
      <c r="N128" s="45">
        <f t="shared" si="24"/>
        <v>50000</v>
      </c>
      <c r="O128" s="45">
        <f t="shared" si="24"/>
        <v>0</v>
      </c>
      <c r="P128" s="45">
        <f t="shared" si="24"/>
        <v>463734</v>
      </c>
      <c r="Q128" s="45">
        <f t="shared" si="24"/>
        <v>463734</v>
      </c>
      <c r="R128" s="45">
        <f t="shared" si="24"/>
        <v>463734</v>
      </c>
      <c r="S128" s="59">
        <f t="shared" si="18"/>
        <v>4156234</v>
      </c>
      <c r="T128" s="125"/>
      <c r="V128" s="61"/>
    </row>
    <row r="129" spans="1:22" s="71" customFormat="1" ht="98.25" customHeight="1">
      <c r="A129" s="11" t="s">
        <v>266</v>
      </c>
      <c r="B129" s="11" t="s">
        <v>93</v>
      </c>
      <c r="C129" s="26">
        <v>1310180</v>
      </c>
      <c r="D129" s="11" t="s">
        <v>95</v>
      </c>
      <c r="E129" s="12" t="s">
        <v>181</v>
      </c>
      <c r="F129" s="27"/>
      <c r="G129" s="1">
        <f t="shared" ref="G129:G134" si="25">H129+K129</f>
        <v>730500</v>
      </c>
      <c r="H129" s="45">
        <f>720400+5100+5000</f>
        <v>730500</v>
      </c>
      <c r="I129" s="115">
        <v>696380</v>
      </c>
      <c r="J129" s="115">
        <v>17520</v>
      </c>
      <c r="K129" s="115"/>
      <c r="L129" s="1">
        <f t="shared" ref="L129:L134" si="26">M129+P129</f>
        <v>15000</v>
      </c>
      <c r="M129" s="115"/>
      <c r="N129" s="45"/>
      <c r="O129" s="115"/>
      <c r="P129" s="115">
        <v>15000</v>
      </c>
      <c r="Q129" s="115">
        <v>15000</v>
      </c>
      <c r="R129" s="115">
        <v>15000</v>
      </c>
      <c r="S129" s="59">
        <f t="shared" si="18"/>
        <v>745500</v>
      </c>
      <c r="T129" s="125"/>
      <c r="V129" s="61"/>
    </row>
    <row r="130" spans="1:22" s="71" customFormat="1" ht="93" customHeight="1">
      <c r="A130" s="11" t="s">
        <v>359</v>
      </c>
      <c r="B130" s="11" t="s">
        <v>267</v>
      </c>
      <c r="C130" s="26">
        <v>1315011</v>
      </c>
      <c r="D130" s="11" t="s">
        <v>111</v>
      </c>
      <c r="E130" s="23" t="s">
        <v>159</v>
      </c>
      <c r="F130" s="27"/>
      <c r="G130" s="1">
        <f t="shared" si="25"/>
        <v>403561</v>
      </c>
      <c r="H130" s="45">
        <f>350000+2000+30000+35000-13439</f>
        <v>403561</v>
      </c>
      <c r="I130" s="115"/>
      <c r="J130" s="115"/>
      <c r="K130" s="115"/>
      <c r="L130" s="1">
        <f t="shared" si="26"/>
        <v>7100</v>
      </c>
      <c r="M130" s="115"/>
      <c r="N130" s="45"/>
      <c r="O130" s="115"/>
      <c r="P130" s="115">
        <v>7100</v>
      </c>
      <c r="Q130" s="115">
        <f>P130</f>
        <v>7100</v>
      </c>
      <c r="R130" s="115">
        <f>Q130</f>
        <v>7100</v>
      </c>
      <c r="S130" s="59">
        <f t="shared" si="18"/>
        <v>410661</v>
      </c>
      <c r="T130" s="125"/>
      <c r="V130" s="61"/>
    </row>
    <row r="131" spans="1:22" s="71" customFormat="1" ht="96.75" customHeight="1">
      <c r="A131" s="11" t="s">
        <v>269</v>
      </c>
      <c r="B131" s="11" t="s">
        <v>268</v>
      </c>
      <c r="C131" s="26">
        <v>1315012</v>
      </c>
      <c r="D131" s="11" t="s">
        <v>111</v>
      </c>
      <c r="E131" s="23" t="s">
        <v>160</v>
      </c>
      <c r="F131" s="27"/>
      <c r="G131" s="1">
        <f t="shared" si="25"/>
        <v>173439</v>
      </c>
      <c r="H131" s="45">
        <f>63000+50000+7000+40000+13439</f>
        <v>173439</v>
      </c>
      <c r="I131" s="115"/>
      <c r="J131" s="115"/>
      <c r="K131" s="115"/>
      <c r="L131" s="1">
        <f t="shared" si="26"/>
        <v>0</v>
      </c>
      <c r="M131" s="115"/>
      <c r="N131" s="45"/>
      <c r="O131" s="115"/>
      <c r="P131" s="115"/>
      <c r="Q131" s="115"/>
      <c r="R131" s="115"/>
      <c r="S131" s="59">
        <f t="shared" si="18"/>
        <v>173439</v>
      </c>
      <c r="T131" s="125"/>
      <c r="V131" s="61"/>
    </row>
    <row r="132" spans="1:22" s="71" customFormat="1" ht="134.25" customHeight="1">
      <c r="A132" s="11" t="s">
        <v>271</v>
      </c>
      <c r="B132" s="11" t="s">
        <v>270</v>
      </c>
      <c r="C132" s="26">
        <v>1315061</v>
      </c>
      <c r="D132" s="11" t="s">
        <v>111</v>
      </c>
      <c r="E132" s="23" t="s">
        <v>416</v>
      </c>
      <c r="F132" s="27"/>
      <c r="G132" s="1">
        <f t="shared" si="25"/>
        <v>1639000</v>
      </c>
      <c r="H132" s="45">
        <f>1371800+60000+132000+40000+6000+20000+9200</f>
        <v>1639000</v>
      </c>
      <c r="I132" s="115">
        <v>1059500</v>
      </c>
      <c r="J132" s="115">
        <f>142300+6000</f>
        <v>148300</v>
      </c>
      <c r="K132" s="115"/>
      <c r="L132" s="1">
        <f t="shared" si="26"/>
        <v>329800</v>
      </c>
      <c r="M132" s="115">
        <f>64000+16000</f>
        <v>80000</v>
      </c>
      <c r="N132" s="45">
        <v>50000</v>
      </c>
      <c r="O132" s="115"/>
      <c r="P132" s="115">
        <f>205000+180000-60000-6000-60000-9200</f>
        <v>249800</v>
      </c>
      <c r="Q132" s="115">
        <f>P132</f>
        <v>249800</v>
      </c>
      <c r="R132" s="115">
        <f>Q132</f>
        <v>249800</v>
      </c>
      <c r="S132" s="59">
        <f t="shared" si="18"/>
        <v>1968800</v>
      </c>
      <c r="T132" s="125"/>
      <c r="V132" s="61"/>
    </row>
    <row r="133" spans="1:22" s="71" customFormat="1" ht="108" customHeight="1">
      <c r="A133" s="11" t="s">
        <v>273</v>
      </c>
      <c r="B133" s="11" t="s">
        <v>272</v>
      </c>
      <c r="C133" s="26">
        <v>1315032</v>
      </c>
      <c r="D133" s="11" t="s">
        <v>111</v>
      </c>
      <c r="E133" s="23" t="s">
        <v>161</v>
      </c>
      <c r="F133" s="27"/>
      <c r="G133" s="1">
        <f t="shared" si="25"/>
        <v>666000</v>
      </c>
      <c r="H133" s="45">
        <f>600000+6000+60000</f>
        <v>666000</v>
      </c>
      <c r="I133" s="115"/>
      <c r="J133" s="115"/>
      <c r="K133" s="115"/>
      <c r="L133" s="1">
        <f t="shared" si="26"/>
        <v>0</v>
      </c>
      <c r="M133" s="115"/>
      <c r="N133" s="45"/>
      <c r="O133" s="115"/>
      <c r="P133" s="115"/>
      <c r="Q133" s="115"/>
      <c r="R133" s="115"/>
      <c r="S133" s="59">
        <f t="shared" si="18"/>
        <v>666000</v>
      </c>
      <c r="T133" s="125"/>
      <c r="V133" s="61"/>
    </row>
    <row r="134" spans="1:22" s="71" customFormat="1" ht="78" customHeight="1">
      <c r="A134" s="11" t="s">
        <v>493</v>
      </c>
      <c r="B134" s="11"/>
      <c r="C134" s="26"/>
      <c r="D134" s="11" t="s">
        <v>363</v>
      </c>
      <c r="E134" s="15" t="s">
        <v>481</v>
      </c>
      <c r="F134" s="27"/>
      <c r="G134" s="1">
        <f t="shared" si="25"/>
        <v>0</v>
      </c>
      <c r="H134" s="45"/>
      <c r="I134" s="115"/>
      <c r="J134" s="115"/>
      <c r="K134" s="115"/>
      <c r="L134" s="1">
        <f t="shared" si="26"/>
        <v>191834</v>
      </c>
      <c r="M134" s="115"/>
      <c r="N134" s="45"/>
      <c r="O134" s="115"/>
      <c r="P134" s="115">
        <f>186246+5588</f>
        <v>191834</v>
      </c>
      <c r="Q134" s="115">
        <f>186246+5588</f>
        <v>191834</v>
      </c>
      <c r="R134" s="115">
        <f>Q134</f>
        <v>191834</v>
      </c>
      <c r="S134" s="59">
        <f t="shared" si="18"/>
        <v>191834</v>
      </c>
      <c r="T134" s="125"/>
      <c r="V134" s="61"/>
    </row>
    <row r="135" spans="1:22" s="71" customFormat="1" ht="88.5" customHeight="1">
      <c r="A135" s="8" t="s">
        <v>331</v>
      </c>
      <c r="B135" s="8"/>
      <c r="C135" s="8" t="s">
        <v>137</v>
      </c>
      <c r="D135" s="11"/>
      <c r="E135" s="29" t="s">
        <v>55</v>
      </c>
      <c r="F135" s="28" t="s">
        <v>55</v>
      </c>
      <c r="G135" s="1">
        <f>G136</f>
        <v>32508778</v>
      </c>
      <c r="H135" s="1">
        <f>H136</f>
        <v>24078676</v>
      </c>
      <c r="I135" s="1">
        <f>I136</f>
        <v>3037700</v>
      </c>
      <c r="J135" s="1">
        <f>J136</f>
        <v>3892499</v>
      </c>
      <c r="K135" s="1">
        <f t="shared" ref="K135:R135" si="27">K136</f>
        <v>8430102</v>
      </c>
      <c r="L135" s="105">
        <f t="shared" si="27"/>
        <v>27425537.52</v>
      </c>
      <c r="M135" s="1">
        <f t="shared" si="27"/>
        <v>431672</v>
      </c>
      <c r="N135" s="1">
        <f t="shared" si="27"/>
        <v>0</v>
      </c>
      <c r="O135" s="1">
        <f t="shared" si="27"/>
        <v>0</v>
      </c>
      <c r="P135" s="105">
        <f t="shared" si="27"/>
        <v>26993865.52</v>
      </c>
      <c r="Q135" s="105">
        <f t="shared" si="27"/>
        <v>26923865.52</v>
      </c>
      <c r="R135" s="105">
        <f t="shared" si="27"/>
        <v>21771123.359999999</v>
      </c>
      <c r="S135" s="106">
        <f t="shared" si="18"/>
        <v>59934315.519999996</v>
      </c>
      <c r="T135" s="125"/>
      <c r="V135" s="61"/>
    </row>
    <row r="136" spans="1:22" s="71" customFormat="1" ht="93.75" customHeight="1">
      <c r="A136" s="8" t="s">
        <v>332</v>
      </c>
      <c r="B136" s="8"/>
      <c r="C136" s="8" t="s">
        <v>330</v>
      </c>
      <c r="D136" s="11"/>
      <c r="E136" s="29" t="str">
        <f>E135</f>
        <v>Управління житлово-комунального господарства та будівництва міської ради</v>
      </c>
      <c r="F136" s="28"/>
      <c r="G136" s="1">
        <f>G137+G138+G143+G144+G145+G146+G151+G164+G165+G167+G168+G169</f>
        <v>32508778</v>
      </c>
      <c r="H136" s="1">
        <f>H137+H138+H143+H144+H145+H146+H151+H152+H157+H158+H159+H160+H161+H162+H163+H164+H165+H166+H167+H168+H169</f>
        <v>24078676</v>
      </c>
      <c r="I136" s="1">
        <f>I137+I139+I146+I152+I164+I165+I167+I168+I169+I138+I143+I144+I145+I157+I158+I159+I160+I162+I166</f>
        <v>3037700</v>
      </c>
      <c r="J136" s="1">
        <f>J137+J139+J146+J152+J164+J165+J167+J168+J169+J138+J143+J144+J145+J157+J158+J159+J160+J162+J166</f>
        <v>3892499</v>
      </c>
      <c r="K136" s="1">
        <f>K137+K139+K146+K152+K164+K165+K167+K168+K169+K138+K143+K144+K145+K157+K158+K159+K160+K162+K166</f>
        <v>8430102</v>
      </c>
      <c r="L136" s="105">
        <f>L137+L139+L146+L152+L164+L165+L167+L168+L169+L138+L143+L144+L145+L157+L158+L159+L160+L162+L166+L163+L161</f>
        <v>27425537.52</v>
      </c>
      <c r="M136" s="1">
        <f>M137+M139+M146+M152+M164+M165+M167+M168+M169+M138+M143+M144+M145+M157+M158+M159+M160+M162+M166+M163</f>
        <v>431672</v>
      </c>
      <c r="N136" s="1">
        <f>N137+N139+N146+N152+N164+N165+N167+N168+N169+N138+N143+N144+N145+N157+N158+N159+N160+N162+N166+N163</f>
        <v>0</v>
      </c>
      <c r="O136" s="1">
        <f>O137+O139+O146+O152+O164+O165+O167+O168+O169+O138+O143+O144+O145+O157+O158+O159+O160+O162+O166+O163</f>
        <v>0</v>
      </c>
      <c r="P136" s="105">
        <f>P137+P139+P146+P152+P164+P165+P167+P168+P169+P138+P143+P144+P145+P157+P158+P159+P160+P162+P166+P163+P161</f>
        <v>26993865.52</v>
      </c>
      <c r="Q136" s="105">
        <f>Q137+Q139+Q146+Q152+Q164+Q165+Q167+Q168+Q169+Q138+Q143+Q144+Q145+Q157+Q158+Q159+Q160+Q162+Q166+Q163+Q161</f>
        <v>26923865.52</v>
      </c>
      <c r="R136" s="105">
        <f>R137+R139+R146+R152+R164+R165+R167+R168+R169+R138+R143+R144+R145+R157+R158+R159+R160+R162+R166+R163+R161</f>
        <v>21771123.359999999</v>
      </c>
      <c r="S136" s="106">
        <f t="shared" si="18"/>
        <v>59934315.519999996</v>
      </c>
      <c r="T136" s="125"/>
      <c r="V136" s="61"/>
    </row>
    <row r="137" spans="1:22" s="49" customFormat="1" ht="96" customHeight="1">
      <c r="A137" s="11" t="s">
        <v>337</v>
      </c>
      <c r="B137" s="11" t="s">
        <v>93</v>
      </c>
      <c r="C137" s="26">
        <v>4010180</v>
      </c>
      <c r="D137" s="11" t="s">
        <v>95</v>
      </c>
      <c r="E137" s="12" t="s">
        <v>181</v>
      </c>
      <c r="F137" s="68" t="s">
        <v>5</v>
      </c>
      <c r="G137" s="1">
        <f t="shared" si="16"/>
        <v>3320000</v>
      </c>
      <c r="H137" s="45">
        <f>3316000+4000</f>
        <v>3320000</v>
      </c>
      <c r="I137" s="115">
        <v>3037700</v>
      </c>
      <c r="J137" s="115">
        <v>173700</v>
      </c>
      <c r="K137" s="115"/>
      <c r="L137" s="1">
        <f t="shared" ref="L137:L176" si="28">M137+P137</f>
        <v>130000</v>
      </c>
      <c r="M137" s="115">
        <v>60000</v>
      </c>
      <c r="N137" s="45"/>
      <c r="O137" s="115"/>
      <c r="P137" s="115">
        <f>70000+150000-150000</f>
        <v>70000</v>
      </c>
      <c r="Q137" s="115">
        <f>150000-150000</f>
        <v>0</v>
      </c>
      <c r="R137" s="115">
        <f>Q137</f>
        <v>0</v>
      </c>
      <c r="S137" s="59">
        <f t="shared" si="18"/>
        <v>3450000</v>
      </c>
      <c r="T137" s="120"/>
      <c r="V137" s="51"/>
    </row>
    <row r="138" spans="1:22" s="49" customFormat="1" ht="62.25" customHeight="1">
      <c r="A138" s="11" t="s">
        <v>492</v>
      </c>
      <c r="B138" s="11"/>
      <c r="C138" s="26"/>
      <c r="D138" s="11" t="s">
        <v>106</v>
      </c>
      <c r="E138" s="12" t="s">
        <v>244</v>
      </c>
      <c r="F138" s="68"/>
      <c r="G138" s="1">
        <f t="shared" si="16"/>
        <v>539000</v>
      </c>
      <c r="H138" s="45">
        <f>350000+199000-10000</f>
        <v>539000</v>
      </c>
      <c r="I138" s="115"/>
      <c r="J138" s="115"/>
      <c r="K138" s="115"/>
      <c r="L138" s="1">
        <f t="shared" si="28"/>
        <v>0</v>
      </c>
      <c r="M138" s="115"/>
      <c r="N138" s="45"/>
      <c r="O138" s="115"/>
      <c r="P138" s="115"/>
      <c r="Q138" s="115"/>
      <c r="R138" s="115"/>
      <c r="S138" s="59">
        <f t="shared" si="18"/>
        <v>539000</v>
      </c>
      <c r="T138" s="120"/>
      <c r="V138" s="51"/>
    </row>
    <row r="139" spans="1:22" s="63" customFormat="1" ht="58.5" customHeight="1">
      <c r="A139" s="11" t="s">
        <v>340</v>
      </c>
      <c r="B139" s="11" t="s">
        <v>338</v>
      </c>
      <c r="C139" s="36">
        <v>4016021</v>
      </c>
      <c r="D139" s="11" t="s">
        <v>102</v>
      </c>
      <c r="E139" s="23" t="s">
        <v>339</v>
      </c>
      <c r="F139" s="62" t="s">
        <v>72</v>
      </c>
      <c r="G139" s="1">
        <f t="shared" si="16"/>
        <v>5000</v>
      </c>
      <c r="H139" s="45">
        <f>H143</f>
        <v>5000</v>
      </c>
      <c r="I139" s="115"/>
      <c r="J139" s="115"/>
      <c r="K139" s="115"/>
      <c r="L139" s="1">
        <f t="shared" si="28"/>
        <v>0</v>
      </c>
      <c r="M139" s="115"/>
      <c r="N139" s="45"/>
      <c r="O139" s="115"/>
      <c r="P139" s="115"/>
      <c r="Q139" s="115"/>
      <c r="R139" s="115"/>
      <c r="S139" s="59">
        <f t="shared" si="18"/>
        <v>5000</v>
      </c>
      <c r="T139" s="116"/>
      <c r="V139" s="51"/>
    </row>
    <row r="140" spans="1:22" s="63" customFormat="1" ht="32.25" hidden="1" customHeight="1">
      <c r="A140" s="37"/>
      <c r="B140" s="37"/>
      <c r="C140" s="36"/>
      <c r="D140" s="11"/>
      <c r="E140" s="38"/>
      <c r="F140" s="62" t="s">
        <v>23</v>
      </c>
      <c r="G140" s="1">
        <f t="shared" si="16"/>
        <v>0</v>
      </c>
      <c r="H140" s="45"/>
      <c r="I140" s="115"/>
      <c r="J140" s="115"/>
      <c r="K140" s="115"/>
      <c r="L140" s="1">
        <f t="shared" si="28"/>
        <v>0</v>
      </c>
      <c r="M140" s="115"/>
      <c r="N140" s="45"/>
      <c r="O140" s="115"/>
      <c r="P140" s="115"/>
      <c r="Q140" s="115"/>
      <c r="R140" s="115"/>
      <c r="S140" s="59">
        <f t="shared" si="18"/>
        <v>0</v>
      </c>
      <c r="T140" s="116"/>
      <c r="V140" s="51"/>
    </row>
    <row r="141" spans="1:22" s="63" customFormat="1" ht="32.25" hidden="1" customHeight="1">
      <c r="A141" s="37"/>
      <c r="B141" s="37"/>
      <c r="C141" s="36"/>
      <c r="D141" s="11"/>
      <c r="E141" s="38"/>
      <c r="F141" s="62" t="s">
        <v>24</v>
      </c>
      <c r="G141" s="1">
        <f t="shared" si="16"/>
        <v>0</v>
      </c>
      <c r="H141" s="45"/>
      <c r="I141" s="115"/>
      <c r="J141" s="115"/>
      <c r="K141" s="115"/>
      <c r="L141" s="1">
        <f t="shared" si="28"/>
        <v>0</v>
      </c>
      <c r="M141" s="115"/>
      <c r="N141" s="45"/>
      <c r="O141" s="115"/>
      <c r="P141" s="115"/>
      <c r="Q141" s="115"/>
      <c r="R141" s="115"/>
      <c r="S141" s="59">
        <f t="shared" si="18"/>
        <v>0</v>
      </c>
      <c r="T141" s="116"/>
      <c r="V141" s="51"/>
    </row>
    <row r="142" spans="1:22" s="49" customFormat="1" ht="32.25" hidden="1" customHeight="1">
      <c r="A142" s="27"/>
      <c r="B142" s="27"/>
      <c r="C142" s="26"/>
      <c r="D142" s="11"/>
      <c r="E142" s="18"/>
      <c r="F142" s="68" t="s">
        <v>22</v>
      </c>
      <c r="G142" s="1">
        <f t="shared" si="16"/>
        <v>0</v>
      </c>
      <c r="H142" s="45"/>
      <c r="I142" s="115"/>
      <c r="J142" s="115"/>
      <c r="K142" s="115"/>
      <c r="L142" s="1">
        <f t="shared" si="28"/>
        <v>0</v>
      </c>
      <c r="M142" s="115"/>
      <c r="N142" s="45"/>
      <c r="O142" s="115"/>
      <c r="P142" s="115"/>
      <c r="Q142" s="115"/>
      <c r="R142" s="115"/>
      <c r="S142" s="59">
        <f t="shared" si="18"/>
        <v>0</v>
      </c>
      <c r="T142" s="120"/>
      <c r="V142" s="51"/>
    </row>
    <row r="143" spans="1:22" s="49" customFormat="1" ht="60" customHeight="1">
      <c r="A143" s="25">
        <v>1216011</v>
      </c>
      <c r="B143" s="27"/>
      <c r="C143" s="26"/>
      <c r="D143" s="11" t="s">
        <v>102</v>
      </c>
      <c r="E143" s="18" t="s">
        <v>435</v>
      </c>
      <c r="F143" s="68"/>
      <c r="G143" s="1">
        <f t="shared" si="16"/>
        <v>5000</v>
      </c>
      <c r="H143" s="45">
        <v>5000</v>
      </c>
      <c r="I143" s="115"/>
      <c r="J143" s="115"/>
      <c r="K143" s="115"/>
      <c r="L143" s="1">
        <f t="shared" si="28"/>
        <v>1590000</v>
      </c>
      <c r="M143" s="115"/>
      <c r="N143" s="45"/>
      <c r="O143" s="115"/>
      <c r="P143" s="115">
        <f>1000000+200000+120000+270000+5000-5000</f>
        <v>1590000</v>
      </c>
      <c r="Q143" s="115">
        <f>P143</f>
        <v>1590000</v>
      </c>
      <c r="R143" s="115">
        <f>Q143</f>
        <v>1590000</v>
      </c>
      <c r="S143" s="59">
        <f t="shared" si="18"/>
        <v>1595000</v>
      </c>
      <c r="T143" s="120"/>
      <c r="V143" s="51"/>
    </row>
    <row r="144" spans="1:22" s="49" customFormat="1" ht="63.75" customHeight="1">
      <c r="A144" s="25">
        <v>1216013</v>
      </c>
      <c r="B144" s="27"/>
      <c r="C144" s="26"/>
      <c r="D144" s="11" t="s">
        <v>102</v>
      </c>
      <c r="E144" s="18" t="s">
        <v>466</v>
      </c>
      <c r="F144" s="68"/>
      <c r="G144" s="1">
        <f t="shared" si="16"/>
        <v>45500</v>
      </c>
      <c r="H144" s="45">
        <f>40000+5500</f>
        <v>45500</v>
      </c>
      <c r="I144" s="115"/>
      <c r="J144" s="115"/>
      <c r="K144" s="115"/>
      <c r="L144" s="1">
        <f t="shared" si="28"/>
        <v>400000</v>
      </c>
      <c r="M144" s="115"/>
      <c r="N144" s="45"/>
      <c r="O144" s="115"/>
      <c r="P144" s="115">
        <f>560000-160000</f>
        <v>400000</v>
      </c>
      <c r="Q144" s="115">
        <f>560000-160000</f>
        <v>400000</v>
      </c>
      <c r="R144" s="115">
        <f>560000-160000</f>
        <v>400000</v>
      </c>
      <c r="S144" s="59">
        <f t="shared" si="18"/>
        <v>445500</v>
      </c>
      <c r="T144" s="120"/>
      <c r="V144" s="51"/>
    </row>
    <row r="145" spans="1:22" s="49" customFormat="1" ht="55.5" customHeight="1">
      <c r="A145" s="25">
        <v>1216017</v>
      </c>
      <c r="B145" s="27"/>
      <c r="C145" s="26"/>
      <c r="D145" s="11" t="s">
        <v>102</v>
      </c>
      <c r="E145" s="18" t="s">
        <v>467</v>
      </c>
      <c r="F145" s="68"/>
      <c r="G145" s="1">
        <f t="shared" si="16"/>
        <v>749902</v>
      </c>
      <c r="H145" s="45"/>
      <c r="I145" s="115"/>
      <c r="J145" s="115"/>
      <c r="K145" s="115">
        <f>562000+80000+107902</f>
        <v>749902</v>
      </c>
      <c r="L145" s="1">
        <f t="shared" si="28"/>
        <v>0</v>
      </c>
      <c r="M145" s="115"/>
      <c r="N145" s="45"/>
      <c r="O145" s="115"/>
      <c r="P145" s="115"/>
      <c r="Q145" s="115"/>
      <c r="R145" s="115"/>
      <c r="S145" s="59">
        <f t="shared" si="18"/>
        <v>749902</v>
      </c>
      <c r="T145" s="120"/>
      <c r="V145" s="51"/>
    </row>
    <row r="146" spans="1:22" s="49" customFormat="1" ht="45" customHeight="1">
      <c r="A146" s="11" t="s">
        <v>341</v>
      </c>
      <c r="B146" s="11" t="s">
        <v>333</v>
      </c>
      <c r="C146" s="26">
        <v>4016060</v>
      </c>
      <c r="D146" s="11" t="s">
        <v>102</v>
      </c>
      <c r="E146" s="23" t="s">
        <v>342</v>
      </c>
      <c r="F146" s="68" t="s">
        <v>73</v>
      </c>
      <c r="G146" s="1">
        <f t="shared" si="16"/>
        <v>19635148</v>
      </c>
      <c r="H146" s="45">
        <f>7583000+50000+357500+400000+392000+55000+50000+10000+1500000+580000-1202-145000-350+500000+494000+90000+40000</f>
        <v>11954948</v>
      </c>
      <c r="I146" s="115"/>
      <c r="J146" s="115">
        <f>3700000+20000-1201</f>
        <v>3718799</v>
      </c>
      <c r="K146" s="115">
        <v>7680200</v>
      </c>
      <c r="L146" s="1">
        <f t="shared" si="28"/>
        <v>857500</v>
      </c>
      <c r="M146" s="115"/>
      <c r="N146" s="45"/>
      <c r="O146" s="115"/>
      <c r="P146" s="115">
        <f>712500+145000</f>
        <v>857500</v>
      </c>
      <c r="Q146" s="115">
        <f>P146</f>
        <v>857500</v>
      </c>
      <c r="R146" s="115">
        <f>Q146</f>
        <v>857500</v>
      </c>
      <c r="S146" s="59">
        <f t="shared" si="18"/>
        <v>20492648</v>
      </c>
      <c r="T146" s="120"/>
      <c r="V146" s="51"/>
    </row>
    <row r="147" spans="1:22" s="49" customFormat="1" ht="32.25" hidden="1" customHeight="1">
      <c r="A147" s="27"/>
      <c r="B147" s="27"/>
      <c r="C147" s="26"/>
      <c r="D147" s="11"/>
      <c r="E147" s="18"/>
      <c r="F147" s="27" t="s">
        <v>36</v>
      </c>
      <c r="G147" s="1">
        <f t="shared" si="16"/>
        <v>0</v>
      </c>
      <c r="H147" s="45"/>
      <c r="I147" s="115"/>
      <c r="J147" s="115"/>
      <c r="K147" s="115"/>
      <c r="L147" s="1">
        <f t="shared" si="28"/>
        <v>0</v>
      </c>
      <c r="M147" s="115"/>
      <c r="N147" s="45"/>
      <c r="O147" s="115"/>
      <c r="P147" s="115"/>
      <c r="Q147" s="115"/>
      <c r="R147" s="115"/>
      <c r="S147" s="59">
        <f t="shared" si="18"/>
        <v>0</v>
      </c>
      <c r="T147" s="120"/>
      <c r="V147" s="51"/>
    </row>
    <row r="148" spans="1:22" s="49" customFormat="1" ht="32.25" hidden="1" customHeight="1">
      <c r="A148" s="27"/>
      <c r="B148" s="27"/>
      <c r="C148" s="26"/>
      <c r="D148" s="11"/>
      <c r="E148" s="18"/>
      <c r="F148" s="27" t="s">
        <v>9</v>
      </c>
      <c r="G148" s="1">
        <f t="shared" si="16"/>
        <v>0</v>
      </c>
      <c r="H148" s="45"/>
      <c r="I148" s="115"/>
      <c r="J148" s="115"/>
      <c r="K148" s="115"/>
      <c r="L148" s="1">
        <f t="shared" si="28"/>
        <v>0</v>
      </c>
      <c r="M148" s="115"/>
      <c r="N148" s="45"/>
      <c r="O148" s="115"/>
      <c r="P148" s="115"/>
      <c r="Q148" s="115"/>
      <c r="R148" s="115"/>
      <c r="S148" s="59">
        <f t="shared" si="18"/>
        <v>0</v>
      </c>
      <c r="T148" s="120"/>
      <c r="V148" s="51"/>
    </row>
    <row r="149" spans="1:22" s="71" customFormat="1" ht="32.25" hidden="1" customHeight="1">
      <c r="A149" s="28"/>
      <c r="B149" s="28"/>
      <c r="C149" s="26"/>
      <c r="D149" s="11"/>
      <c r="E149" s="18"/>
      <c r="F149" s="27" t="s">
        <v>48</v>
      </c>
      <c r="G149" s="1">
        <f t="shared" si="16"/>
        <v>0</v>
      </c>
      <c r="H149" s="45"/>
      <c r="I149" s="45"/>
      <c r="J149" s="45"/>
      <c r="K149" s="45"/>
      <c r="L149" s="1">
        <f t="shared" si="28"/>
        <v>0</v>
      </c>
      <c r="M149" s="45"/>
      <c r="N149" s="45"/>
      <c r="O149" s="45"/>
      <c r="P149" s="45"/>
      <c r="Q149" s="45"/>
      <c r="R149" s="45"/>
      <c r="S149" s="59">
        <f t="shared" si="18"/>
        <v>0</v>
      </c>
      <c r="T149" s="125"/>
      <c r="V149" s="61"/>
    </row>
    <row r="150" spans="1:22" s="71" customFormat="1" ht="32.25" hidden="1" customHeight="1">
      <c r="A150" s="28"/>
      <c r="B150" s="28"/>
      <c r="C150" s="26"/>
      <c r="D150" s="11"/>
      <c r="E150" s="18"/>
      <c r="F150" s="27" t="s">
        <v>74</v>
      </c>
      <c r="G150" s="1">
        <f t="shared" si="16"/>
        <v>0</v>
      </c>
      <c r="H150" s="45"/>
      <c r="I150" s="45"/>
      <c r="J150" s="45"/>
      <c r="K150" s="45"/>
      <c r="L150" s="1">
        <f t="shared" si="28"/>
        <v>0</v>
      </c>
      <c r="M150" s="45"/>
      <c r="N150" s="45"/>
      <c r="O150" s="45"/>
      <c r="P150" s="45"/>
      <c r="Q150" s="45"/>
      <c r="R150" s="45"/>
      <c r="S150" s="59">
        <f t="shared" si="18"/>
        <v>0</v>
      </c>
      <c r="T150" s="125"/>
      <c r="V150" s="61"/>
    </row>
    <row r="151" spans="1:22" s="71" customFormat="1" ht="32.25" customHeight="1">
      <c r="A151" s="27">
        <v>1217130</v>
      </c>
      <c r="B151" s="27"/>
      <c r="C151" s="26"/>
      <c r="D151" s="11" t="s">
        <v>104</v>
      </c>
      <c r="E151" s="131" t="s">
        <v>203</v>
      </c>
      <c r="F151" s="69"/>
      <c r="G151" s="1">
        <f t="shared" si="16"/>
        <v>17228</v>
      </c>
      <c r="H151" s="45">
        <f>10000+7228</f>
        <v>17228</v>
      </c>
      <c r="I151" s="132"/>
      <c r="J151" s="132"/>
      <c r="K151" s="132"/>
      <c r="L151" s="1">
        <f t="shared" si="28"/>
        <v>0</v>
      </c>
      <c r="M151" s="45"/>
      <c r="N151" s="45"/>
      <c r="O151" s="45"/>
      <c r="P151" s="45"/>
      <c r="Q151" s="45"/>
      <c r="R151" s="45"/>
      <c r="S151" s="59">
        <f t="shared" si="18"/>
        <v>17228</v>
      </c>
      <c r="T151" s="125"/>
      <c r="V151" s="61"/>
    </row>
    <row r="152" spans="1:22" s="49" customFormat="1" ht="65.25" customHeight="1">
      <c r="A152" s="11" t="s">
        <v>450</v>
      </c>
      <c r="B152" s="11" t="s">
        <v>343</v>
      </c>
      <c r="C152" s="26">
        <v>4016310</v>
      </c>
      <c r="D152" s="11"/>
      <c r="E152" s="35" t="s">
        <v>468</v>
      </c>
      <c r="F152" s="78" t="s">
        <v>19</v>
      </c>
      <c r="G152" s="1">
        <f t="shared" si="16"/>
        <v>0</v>
      </c>
      <c r="H152" s="45"/>
      <c r="I152" s="115"/>
      <c r="J152" s="115"/>
      <c r="K152" s="115"/>
      <c r="L152" s="1">
        <f t="shared" si="28"/>
        <v>0</v>
      </c>
      <c r="M152" s="115"/>
      <c r="N152" s="45"/>
      <c r="O152" s="115"/>
      <c r="P152" s="115">
        <f>50000-50000</f>
        <v>0</v>
      </c>
      <c r="Q152" s="115">
        <f>P152</f>
        <v>0</v>
      </c>
      <c r="R152" s="115">
        <f>Q152</f>
        <v>0</v>
      </c>
      <c r="S152" s="59">
        <f t="shared" si="18"/>
        <v>0</v>
      </c>
      <c r="T152" s="120"/>
      <c r="V152" s="51"/>
    </row>
    <row r="153" spans="1:22" s="49" customFormat="1" ht="32.25" hidden="1" customHeight="1">
      <c r="A153" s="11"/>
      <c r="B153" s="11"/>
      <c r="C153" s="26"/>
      <c r="D153" s="11"/>
      <c r="E153" s="18"/>
      <c r="F153" s="69" t="s">
        <v>21</v>
      </c>
      <c r="G153" s="1">
        <f t="shared" si="16"/>
        <v>0</v>
      </c>
      <c r="H153" s="45"/>
      <c r="I153" s="115"/>
      <c r="J153" s="115"/>
      <c r="K153" s="115"/>
      <c r="L153" s="1">
        <f t="shared" si="28"/>
        <v>0</v>
      </c>
      <c r="M153" s="115"/>
      <c r="N153" s="45"/>
      <c r="O153" s="115"/>
      <c r="P153" s="115"/>
      <c r="Q153" s="115"/>
      <c r="R153" s="115"/>
      <c r="S153" s="59">
        <f t="shared" si="18"/>
        <v>0</v>
      </c>
      <c r="T153" s="120"/>
      <c r="V153" s="51"/>
    </row>
    <row r="154" spans="1:22" s="49" customFormat="1" ht="32.25" hidden="1" customHeight="1">
      <c r="A154" s="11"/>
      <c r="B154" s="11"/>
      <c r="C154" s="26"/>
      <c r="D154" s="11"/>
      <c r="E154" s="18"/>
      <c r="F154" s="78" t="e">
        <f>#REF!</f>
        <v>#REF!</v>
      </c>
      <c r="G154" s="1">
        <f t="shared" si="16"/>
        <v>0</v>
      </c>
      <c r="H154" s="45"/>
      <c r="I154" s="115"/>
      <c r="J154" s="115"/>
      <c r="K154" s="115"/>
      <c r="L154" s="1">
        <f t="shared" si="28"/>
        <v>0</v>
      </c>
      <c r="M154" s="115"/>
      <c r="N154" s="45"/>
      <c r="O154" s="115"/>
      <c r="P154" s="115"/>
      <c r="Q154" s="115"/>
      <c r="R154" s="115"/>
      <c r="S154" s="59">
        <f t="shared" si="18"/>
        <v>0</v>
      </c>
      <c r="T154" s="120"/>
      <c r="V154" s="51"/>
    </row>
    <row r="155" spans="1:22" s="49" customFormat="1" ht="32.25" hidden="1" customHeight="1">
      <c r="A155" s="11"/>
      <c r="B155" s="11"/>
      <c r="C155" s="26"/>
      <c r="D155" s="11"/>
      <c r="E155" s="18"/>
      <c r="F155" s="78" t="s">
        <v>34</v>
      </c>
      <c r="G155" s="1">
        <f t="shared" si="16"/>
        <v>0</v>
      </c>
      <c r="H155" s="45"/>
      <c r="I155" s="115"/>
      <c r="J155" s="115"/>
      <c r="K155" s="115"/>
      <c r="L155" s="1">
        <f t="shared" si="28"/>
        <v>0</v>
      </c>
      <c r="M155" s="115"/>
      <c r="N155" s="45"/>
      <c r="O155" s="115"/>
      <c r="P155" s="115"/>
      <c r="Q155" s="115"/>
      <c r="R155" s="115"/>
      <c r="S155" s="59">
        <f t="shared" si="18"/>
        <v>0</v>
      </c>
      <c r="T155" s="120"/>
      <c r="V155" s="51"/>
    </row>
    <row r="156" spans="1:22" s="49" customFormat="1" ht="32.25" hidden="1" customHeight="1">
      <c r="A156" s="11"/>
      <c r="B156" s="11"/>
      <c r="C156" s="26"/>
      <c r="D156" s="11"/>
      <c r="E156" s="18"/>
      <c r="F156" s="69" t="s">
        <v>67</v>
      </c>
      <c r="G156" s="1">
        <f t="shared" si="16"/>
        <v>0</v>
      </c>
      <c r="H156" s="45"/>
      <c r="I156" s="115"/>
      <c r="J156" s="115"/>
      <c r="K156" s="115"/>
      <c r="L156" s="1">
        <f t="shared" si="28"/>
        <v>0</v>
      </c>
      <c r="M156" s="115"/>
      <c r="N156" s="45"/>
      <c r="O156" s="115"/>
      <c r="P156" s="115"/>
      <c r="Q156" s="115"/>
      <c r="R156" s="115"/>
      <c r="S156" s="59">
        <f t="shared" si="18"/>
        <v>0</v>
      </c>
      <c r="T156" s="120"/>
      <c r="V156" s="51"/>
    </row>
    <row r="157" spans="1:22" s="49" customFormat="1" ht="32.25" customHeight="1">
      <c r="A157" s="11" t="s">
        <v>451</v>
      </c>
      <c r="B157" s="11"/>
      <c r="C157" s="26"/>
      <c r="D157" s="39" t="s">
        <v>117</v>
      </c>
      <c r="E157" s="15" t="s">
        <v>456</v>
      </c>
      <c r="F157" s="69"/>
      <c r="G157" s="1">
        <f t="shared" si="16"/>
        <v>0</v>
      </c>
      <c r="H157" s="45"/>
      <c r="I157" s="115"/>
      <c r="J157" s="115"/>
      <c r="K157" s="115"/>
      <c r="L157" s="1">
        <f t="shared" si="28"/>
        <v>806800</v>
      </c>
      <c r="M157" s="115"/>
      <c r="N157" s="45"/>
      <c r="O157" s="115"/>
      <c r="P157" s="115">
        <f>955800+20000+31000-100000-100000</f>
        <v>806800</v>
      </c>
      <c r="Q157" s="115">
        <f t="shared" ref="Q157:R164" si="29">P157</f>
        <v>806800</v>
      </c>
      <c r="R157" s="115">
        <f t="shared" si="29"/>
        <v>806800</v>
      </c>
      <c r="S157" s="59">
        <f t="shared" si="18"/>
        <v>806800</v>
      </c>
      <c r="T157" s="120"/>
      <c r="V157" s="51"/>
    </row>
    <row r="158" spans="1:22" s="49" customFormat="1" ht="32.25" customHeight="1">
      <c r="A158" s="11" t="s">
        <v>452</v>
      </c>
      <c r="B158" s="11"/>
      <c r="C158" s="26"/>
      <c r="D158" s="39" t="s">
        <v>117</v>
      </c>
      <c r="E158" s="15" t="s">
        <v>457</v>
      </c>
      <c r="F158" s="69"/>
      <c r="G158" s="1">
        <f t="shared" si="16"/>
        <v>0</v>
      </c>
      <c r="H158" s="45"/>
      <c r="I158" s="115"/>
      <c r="J158" s="115"/>
      <c r="K158" s="115"/>
      <c r="L158" s="1">
        <f t="shared" si="28"/>
        <v>18470</v>
      </c>
      <c r="M158" s="115"/>
      <c r="N158" s="45"/>
      <c r="O158" s="115"/>
      <c r="P158" s="115">
        <f>100000+100000+8120+10000-8120+8470-200000</f>
        <v>18470</v>
      </c>
      <c r="Q158" s="115">
        <f t="shared" si="29"/>
        <v>18470</v>
      </c>
      <c r="R158" s="115">
        <f t="shared" si="29"/>
        <v>18470</v>
      </c>
      <c r="S158" s="59">
        <f t="shared" si="18"/>
        <v>18470</v>
      </c>
      <c r="T158" s="120"/>
      <c r="V158" s="51"/>
    </row>
    <row r="159" spans="1:22" s="49" customFormat="1" ht="60.75" customHeight="1">
      <c r="A159" s="11" t="s">
        <v>453</v>
      </c>
      <c r="B159" s="11"/>
      <c r="C159" s="26"/>
      <c r="D159" s="11" t="s">
        <v>117</v>
      </c>
      <c r="E159" s="40" t="s">
        <v>458</v>
      </c>
      <c r="F159" s="27"/>
      <c r="G159" s="1">
        <f t="shared" si="16"/>
        <v>0</v>
      </c>
      <c r="H159" s="45"/>
      <c r="I159" s="115"/>
      <c r="J159" s="115"/>
      <c r="K159" s="115"/>
      <c r="L159" s="1">
        <f t="shared" si="28"/>
        <v>41700</v>
      </c>
      <c r="M159" s="115"/>
      <c r="N159" s="45"/>
      <c r="O159" s="115"/>
      <c r="P159" s="115">
        <v>41700</v>
      </c>
      <c r="Q159" s="115">
        <f t="shared" si="29"/>
        <v>41700</v>
      </c>
      <c r="R159" s="115">
        <f t="shared" si="29"/>
        <v>41700</v>
      </c>
      <c r="S159" s="59">
        <f t="shared" si="18"/>
        <v>41700</v>
      </c>
      <c r="T159" s="120"/>
      <c r="V159" s="51"/>
    </row>
    <row r="160" spans="1:22" s="49" customFormat="1" ht="81" customHeight="1">
      <c r="A160" s="11" t="s">
        <v>454</v>
      </c>
      <c r="B160" s="11"/>
      <c r="C160" s="26"/>
      <c r="D160" s="11" t="s">
        <v>117</v>
      </c>
      <c r="E160" s="15" t="s">
        <v>455</v>
      </c>
      <c r="F160" s="27"/>
      <c r="G160" s="1">
        <f t="shared" si="16"/>
        <v>0</v>
      </c>
      <c r="H160" s="45"/>
      <c r="I160" s="115"/>
      <c r="J160" s="115"/>
      <c r="K160" s="115"/>
      <c r="L160" s="1">
        <f t="shared" si="28"/>
        <v>2405000</v>
      </c>
      <c r="M160" s="115"/>
      <c r="N160" s="45"/>
      <c r="O160" s="115"/>
      <c r="P160" s="115">
        <f>2150000+30000+40000+50000+160000+15000-40000</f>
        <v>2405000</v>
      </c>
      <c r="Q160" s="115">
        <f t="shared" si="29"/>
        <v>2405000</v>
      </c>
      <c r="R160" s="115">
        <f>Q160-517800-141000-30000</f>
        <v>1716200</v>
      </c>
      <c r="S160" s="59">
        <f t="shared" si="18"/>
        <v>2405000</v>
      </c>
      <c r="T160" s="120"/>
      <c r="V160" s="51"/>
    </row>
    <row r="161" spans="1:22" s="49" customFormat="1" ht="75" customHeight="1">
      <c r="A161" s="11" t="s">
        <v>489</v>
      </c>
      <c r="B161" s="11"/>
      <c r="C161" s="26"/>
      <c r="D161" s="11" t="s">
        <v>117</v>
      </c>
      <c r="E161" s="15" t="s">
        <v>490</v>
      </c>
      <c r="F161" s="27"/>
      <c r="G161" s="1">
        <f t="shared" si="16"/>
        <v>0</v>
      </c>
      <c r="H161" s="45"/>
      <c r="I161" s="115"/>
      <c r="J161" s="115"/>
      <c r="K161" s="115"/>
      <c r="L161" s="1">
        <f t="shared" si="28"/>
        <v>280000</v>
      </c>
      <c r="M161" s="115"/>
      <c r="N161" s="45"/>
      <c r="O161" s="115"/>
      <c r="P161" s="115">
        <f>85000+195000</f>
        <v>280000</v>
      </c>
      <c r="Q161" s="115">
        <f>P161</f>
        <v>280000</v>
      </c>
      <c r="R161" s="115">
        <f>Q161</f>
        <v>280000</v>
      </c>
      <c r="S161" s="59">
        <f t="shared" si="18"/>
        <v>280000</v>
      </c>
      <c r="T161" s="120"/>
      <c r="V161" s="51"/>
    </row>
    <row r="162" spans="1:22" s="49" customFormat="1" ht="75" customHeight="1">
      <c r="A162" s="11" t="s">
        <v>480</v>
      </c>
      <c r="B162" s="11"/>
      <c r="C162" s="26"/>
      <c r="D162" s="11" t="s">
        <v>363</v>
      </c>
      <c r="E162" s="15" t="s">
        <v>481</v>
      </c>
      <c r="F162" s="27"/>
      <c r="G162" s="1">
        <f t="shared" si="16"/>
        <v>0</v>
      </c>
      <c r="H162" s="45"/>
      <c r="I162" s="115"/>
      <c r="J162" s="115"/>
      <c r="K162" s="115"/>
      <c r="L162" s="105">
        <f t="shared" si="28"/>
        <v>9449165.5199999996</v>
      </c>
      <c r="M162" s="115"/>
      <c r="N162" s="45"/>
      <c r="O162" s="115"/>
      <c r="P162" s="126">
        <f>2453853.16+2203926.36+139734+1202+4515000+135450</f>
        <v>9449165.5199999996</v>
      </c>
      <c r="Q162" s="126">
        <f t="shared" si="29"/>
        <v>9449165.5199999996</v>
      </c>
      <c r="R162" s="126">
        <f>2203926.36+139734+1202+4515000+135450</f>
        <v>6995312.3599999994</v>
      </c>
      <c r="S162" s="106">
        <f t="shared" si="18"/>
        <v>9449165.5199999996</v>
      </c>
      <c r="T162" s="120"/>
      <c r="V162" s="51"/>
    </row>
    <row r="163" spans="1:22" s="49" customFormat="1" ht="78.75" customHeight="1">
      <c r="A163" s="11" t="s">
        <v>477</v>
      </c>
      <c r="B163" s="11"/>
      <c r="C163" s="26"/>
      <c r="D163" s="11" t="s">
        <v>363</v>
      </c>
      <c r="E163" s="15" t="s">
        <v>478</v>
      </c>
      <c r="F163" s="27"/>
      <c r="G163" s="1">
        <f t="shared" si="16"/>
        <v>0</v>
      </c>
      <c r="H163" s="45"/>
      <c r="I163" s="115"/>
      <c r="J163" s="115"/>
      <c r="K163" s="115"/>
      <c r="L163" s="1">
        <f t="shared" si="28"/>
        <v>1153530</v>
      </c>
      <c r="M163" s="115"/>
      <c r="N163" s="45"/>
      <c r="O163" s="115"/>
      <c r="P163" s="115">
        <v>1153530</v>
      </c>
      <c r="Q163" s="115">
        <f>P163</f>
        <v>1153530</v>
      </c>
      <c r="R163" s="115">
        <f t="shared" si="29"/>
        <v>1153530</v>
      </c>
      <c r="S163" s="59">
        <f t="shared" si="18"/>
        <v>1153530</v>
      </c>
      <c r="T163" s="120"/>
      <c r="V163" s="51"/>
    </row>
    <row r="164" spans="1:22" s="49" customFormat="1" ht="66.75" customHeight="1">
      <c r="A164" s="11" t="s">
        <v>344</v>
      </c>
      <c r="B164" s="11" t="s">
        <v>334</v>
      </c>
      <c r="C164" s="26">
        <v>4016430</v>
      </c>
      <c r="D164" s="11" t="s">
        <v>117</v>
      </c>
      <c r="E164" s="23" t="s">
        <v>345</v>
      </c>
      <c r="F164" s="27" t="s">
        <v>25</v>
      </c>
      <c r="G164" s="1">
        <f t="shared" si="16"/>
        <v>100000</v>
      </c>
      <c r="H164" s="1">
        <f>180000-80000</f>
        <v>100000</v>
      </c>
      <c r="I164" s="115"/>
      <c r="J164" s="115"/>
      <c r="K164" s="115"/>
      <c r="L164" s="1">
        <f t="shared" si="28"/>
        <v>140000</v>
      </c>
      <c r="M164" s="115"/>
      <c r="N164" s="45"/>
      <c r="O164" s="115"/>
      <c r="P164" s="115">
        <f>130000+10000</f>
        <v>140000</v>
      </c>
      <c r="Q164" s="115">
        <f t="shared" si="29"/>
        <v>140000</v>
      </c>
      <c r="R164" s="115">
        <f t="shared" si="29"/>
        <v>140000</v>
      </c>
      <c r="S164" s="59">
        <f t="shared" si="18"/>
        <v>240000</v>
      </c>
      <c r="T164" s="120"/>
      <c r="V164" s="51"/>
    </row>
    <row r="165" spans="1:22" s="49" customFormat="1" ht="88.5" customHeight="1">
      <c r="A165" s="11" t="s">
        <v>473</v>
      </c>
      <c r="B165" s="11" t="s">
        <v>441</v>
      </c>
      <c r="C165" s="26">
        <v>4017440</v>
      </c>
      <c r="D165" s="11" t="s">
        <v>440</v>
      </c>
      <c r="E165" s="41" t="s">
        <v>472</v>
      </c>
      <c r="F165" s="27"/>
      <c r="G165" s="1">
        <f t="shared" si="16"/>
        <v>7843000</v>
      </c>
      <c r="H165" s="1">
        <f>1247000+1668000+13000+4915000</f>
        <v>7843000</v>
      </c>
      <c r="I165" s="115"/>
      <c r="J165" s="115"/>
      <c r="K165" s="115"/>
      <c r="L165" s="1">
        <f t="shared" si="28"/>
        <v>1072200</v>
      </c>
      <c r="M165" s="115"/>
      <c r="N165" s="45"/>
      <c r="O165" s="115"/>
      <c r="P165" s="115">
        <f>5985200+1150000+50000+30000-1668000-4915000-30000+3601+2402+49552+10760+8460+87145+308080</f>
        <v>1072200</v>
      </c>
      <c r="Q165" s="115">
        <f>P165</f>
        <v>1072200</v>
      </c>
      <c r="R165" s="115">
        <f>4835200+1150000+50000+30000-1668000+517800-4915000+141000-30000+3601+2402+49552+10760+8460+87145+308080+30000</f>
        <v>611000</v>
      </c>
      <c r="S165" s="59">
        <f t="shared" si="18"/>
        <v>8915200</v>
      </c>
      <c r="T165" s="120"/>
      <c r="V165" s="51"/>
    </row>
    <row r="166" spans="1:22" s="49" customFormat="1" ht="57" customHeight="1">
      <c r="A166" s="11" t="s">
        <v>433</v>
      </c>
      <c r="B166" s="11"/>
      <c r="C166" s="26"/>
      <c r="D166" s="11" t="s">
        <v>363</v>
      </c>
      <c r="E166" s="23" t="s">
        <v>434</v>
      </c>
      <c r="F166" s="27"/>
      <c r="G166" s="1">
        <f t="shared" ref="G166:G175" si="30">H166+K166</f>
        <v>0</v>
      </c>
      <c r="H166" s="1"/>
      <c r="I166" s="115"/>
      <c r="J166" s="115"/>
      <c r="K166" s="115"/>
      <c r="L166" s="1">
        <f t="shared" si="28"/>
        <v>8189500</v>
      </c>
      <c r="M166" s="115"/>
      <c r="N166" s="45"/>
      <c r="O166" s="115"/>
      <c r="P166" s="115">
        <f>7885000+1548889+951111+45000-2500000+259500</f>
        <v>8189500</v>
      </c>
      <c r="Q166" s="115">
        <f>P166</f>
        <v>8189500</v>
      </c>
      <c r="R166" s="115">
        <f>Q166-1548889</f>
        <v>6640611</v>
      </c>
      <c r="S166" s="59">
        <f t="shared" ref="S166:S177" si="31">G166+L166</f>
        <v>8189500</v>
      </c>
      <c r="T166" s="120"/>
      <c r="V166" s="51"/>
    </row>
    <row r="167" spans="1:22" s="49" customFormat="1" ht="60" customHeight="1">
      <c r="A167" s="11" t="s">
        <v>346</v>
      </c>
      <c r="B167" s="11" t="s">
        <v>216</v>
      </c>
      <c r="C167" s="26">
        <v>4017810</v>
      </c>
      <c r="D167" s="11" t="s">
        <v>105</v>
      </c>
      <c r="E167" s="23" t="s">
        <v>417</v>
      </c>
      <c r="F167" s="27" t="s">
        <v>65</v>
      </c>
      <c r="G167" s="1">
        <f t="shared" si="30"/>
        <v>154000</v>
      </c>
      <c r="H167" s="45">
        <f>180000-6000-20000</f>
        <v>154000</v>
      </c>
      <c r="I167" s="115"/>
      <c r="J167" s="115"/>
      <c r="K167" s="115"/>
      <c r="L167" s="1">
        <f t="shared" si="28"/>
        <v>20000</v>
      </c>
      <c r="M167" s="115"/>
      <c r="N167" s="45"/>
      <c r="O167" s="115"/>
      <c r="P167" s="115">
        <v>20000</v>
      </c>
      <c r="Q167" s="115">
        <v>20000</v>
      </c>
      <c r="R167" s="115">
        <v>20000</v>
      </c>
      <c r="S167" s="59">
        <f t="shared" si="31"/>
        <v>174000</v>
      </c>
      <c r="T167" s="120"/>
      <c r="V167" s="51"/>
    </row>
    <row r="168" spans="1:22" s="49" customFormat="1" ht="41.25" customHeight="1">
      <c r="A168" s="11" t="s">
        <v>347</v>
      </c>
      <c r="B168" s="11" t="s">
        <v>335</v>
      </c>
      <c r="C168" s="26">
        <v>4017840</v>
      </c>
      <c r="D168" s="11" t="s">
        <v>105</v>
      </c>
      <c r="E168" s="23" t="s">
        <v>348</v>
      </c>
      <c r="F168" s="27" t="s">
        <v>35</v>
      </c>
      <c r="G168" s="1">
        <f t="shared" si="30"/>
        <v>100000</v>
      </c>
      <c r="H168" s="45">
        <v>100000</v>
      </c>
      <c r="I168" s="115"/>
      <c r="J168" s="115"/>
      <c r="K168" s="115"/>
      <c r="L168" s="1">
        <f t="shared" si="28"/>
        <v>0</v>
      </c>
      <c r="M168" s="115"/>
      <c r="N168" s="45"/>
      <c r="O168" s="115"/>
      <c r="P168" s="115"/>
      <c r="Q168" s="115"/>
      <c r="R168" s="115"/>
      <c r="S168" s="59">
        <f t="shared" si="31"/>
        <v>100000</v>
      </c>
      <c r="T168" s="120"/>
      <c r="V168" s="51"/>
    </row>
    <row r="169" spans="1:22" s="49" customFormat="1" ht="58.5" customHeight="1">
      <c r="A169" s="11" t="s">
        <v>360</v>
      </c>
      <c r="B169" s="11" t="s">
        <v>336</v>
      </c>
      <c r="C169" s="26">
        <v>4019110</v>
      </c>
      <c r="D169" s="11" t="s">
        <v>349</v>
      </c>
      <c r="E169" s="23" t="s">
        <v>361</v>
      </c>
      <c r="F169" s="27" t="s">
        <v>88</v>
      </c>
      <c r="G169" s="1">
        <f t="shared" si="30"/>
        <v>0</v>
      </c>
      <c r="H169" s="130"/>
      <c r="I169" s="115"/>
      <c r="J169" s="115"/>
      <c r="K169" s="115"/>
      <c r="L169" s="1">
        <f t="shared" si="28"/>
        <v>871672</v>
      </c>
      <c r="M169" s="115">
        <f>249100+122572</f>
        <v>371672</v>
      </c>
      <c r="N169" s="45"/>
      <c r="O169" s="115"/>
      <c r="P169" s="115">
        <f>400000+100000</f>
        <v>500000</v>
      </c>
      <c r="Q169" s="115">
        <f>P169</f>
        <v>500000</v>
      </c>
      <c r="R169" s="115">
        <f>Q169</f>
        <v>500000</v>
      </c>
      <c r="S169" s="59">
        <f t="shared" si="31"/>
        <v>871672</v>
      </c>
      <c r="T169" s="120"/>
      <c r="V169" s="51"/>
    </row>
    <row r="170" spans="1:22" s="79" customFormat="1" ht="38.25" customHeight="1">
      <c r="A170" s="8" t="s">
        <v>350</v>
      </c>
      <c r="B170" s="8"/>
      <c r="C170" s="42">
        <v>7500000</v>
      </c>
      <c r="D170" s="28"/>
      <c r="E170" s="29" t="s">
        <v>8</v>
      </c>
      <c r="F170" s="28" t="s">
        <v>8</v>
      </c>
      <c r="G170" s="1">
        <f>G171</f>
        <v>3474467</v>
      </c>
      <c r="H170" s="1">
        <f t="shared" ref="H170:R170" si="32">H171</f>
        <v>3386893</v>
      </c>
      <c r="I170" s="1">
        <f t="shared" si="32"/>
        <v>3020893</v>
      </c>
      <c r="J170" s="1">
        <f t="shared" si="32"/>
        <v>79000</v>
      </c>
      <c r="K170" s="1">
        <f t="shared" si="32"/>
        <v>0</v>
      </c>
      <c r="L170" s="1">
        <f t="shared" si="32"/>
        <v>50000</v>
      </c>
      <c r="M170" s="1">
        <f t="shared" si="32"/>
        <v>0</v>
      </c>
      <c r="N170" s="1">
        <f t="shared" si="32"/>
        <v>0</v>
      </c>
      <c r="O170" s="1">
        <f t="shared" si="32"/>
        <v>0</v>
      </c>
      <c r="P170" s="1">
        <f t="shared" si="32"/>
        <v>50000</v>
      </c>
      <c r="Q170" s="1">
        <f t="shared" si="32"/>
        <v>50000</v>
      </c>
      <c r="R170" s="1">
        <f t="shared" si="32"/>
        <v>50000</v>
      </c>
      <c r="S170" s="59">
        <f t="shared" si="31"/>
        <v>3524467</v>
      </c>
      <c r="T170" s="111"/>
      <c r="V170" s="61"/>
    </row>
    <row r="171" spans="1:22" s="79" customFormat="1" ht="36" customHeight="1">
      <c r="A171" s="8" t="s">
        <v>351</v>
      </c>
      <c r="B171" s="8"/>
      <c r="C171" s="42">
        <f>C170</f>
        <v>7500000</v>
      </c>
      <c r="D171" s="28"/>
      <c r="E171" s="29" t="str">
        <f>E170</f>
        <v>Фінансове управління міської ради</v>
      </c>
      <c r="F171" s="28"/>
      <c r="G171" s="1">
        <f>G172+G173+G175+G176+G174</f>
        <v>3474467</v>
      </c>
      <c r="H171" s="1">
        <f>H172+H173+H176+H175+H174</f>
        <v>3386893</v>
      </c>
      <c r="I171" s="1">
        <f t="shared" ref="I171:R171" si="33">I172+I173+I176</f>
        <v>3020893</v>
      </c>
      <c r="J171" s="1">
        <f t="shared" si="33"/>
        <v>79000</v>
      </c>
      <c r="K171" s="1">
        <f t="shared" si="33"/>
        <v>0</v>
      </c>
      <c r="L171" s="1">
        <f t="shared" si="33"/>
        <v>50000</v>
      </c>
      <c r="M171" s="1">
        <f t="shared" si="33"/>
        <v>0</v>
      </c>
      <c r="N171" s="1">
        <f t="shared" si="33"/>
        <v>0</v>
      </c>
      <c r="O171" s="1">
        <f t="shared" si="33"/>
        <v>0</v>
      </c>
      <c r="P171" s="1">
        <f t="shared" si="33"/>
        <v>50000</v>
      </c>
      <c r="Q171" s="1">
        <f t="shared" si="33"/>
        <v>50000</v>
      </c>
      <c r="R171" s="1">
        <f t="shared" si="33"/>
        <v>50000</v>
      </c>
      <c r="S171" s="59">
        <f t="shared" si="31"/>
        <v>3524467</v>
      </c>
      <c r="T171" s="111"/>
      <c r="V171" s="61"/>
    </row>
    <row r="172" spans="1:22" s="49" customFormat="1" ht="88.5" customHeight="1">
      <c r="A172" s="11" t="s">
        <v>352</v>
      </c>
      <c r="B172" s="11" t="s">
        <v>93</v>
      </c>
      <c r="C172" s="26">
        <v>7510180</v>
      </c>
      <c r="D172" s="11" t="s">
        <v>95</v>
      </c>
      <c r="E172" s="12" t="s">
        <v>181</v>
      </c>
      <c r="F172" s="68" t="s">
        <v>5</v>
      </c>
      <c r="G172" s="1">
        <f t="shared" si="30"/>
        <v>3183893</v>
      </c>
      <c r="H172" s="45">
        <f>3010000+19893+150000+4000</f>
        <v>3183893</v>
      </c>
      <c r="I172" s="115">
        <f>2791000+19893+210000</f>
        <v>3020893</v>
      </c>
      <c r="J172" s="115">
        <v>79000</v>
      </c>
      <c r="K172" s="115"/>
      <c r="L172" s="1">
        <f t="shared" si="28"/>
        <v>50000</v>
      </c>
      <c r="M172" s="115"/>
      <c r="N172" s="45"/>
      <c r="O172" s="115"/>
      <c r="P172" s="115">
        <v>50000</v>
      </c>
      <c r="Q172" s="115">
        <v>50000</v>
      </c>
      <c r="R172" s="115">
        <v>50000</v>
      </c>
      <c r="S172" s="59">
        <f t="shared" si="31"/>
        <v>3233893</v>
      </c>
      <c r="T172" s="120"/>
      <c r="V172" s="51"/>
    </row>
    <row r="173" spans="1:22" s="49" customFormat="1" ht="61.5" customHeight="1">
      <c r="A173" s="11" t="s">
        <v>432</v>
      </c>
      <c r="B173" s="11"/>
      <c r="C173" s="26"/>
      <c r="D173" s="11" t="s">
        <v>106</v>
      </c>
      <c r="E173" s="12" t="s">
        <v>244</v>
      </c>
      <c r="F173" s="68"/>
      <c r="G173" s="1">
        <f t="shared" si="30"/>
        <v>3000</v>
      </c>
      <c r="H173" s="45">
        <v>3000</v>
      </c>
      <c r="I173" s="115"/>
      <c r="J173" s="115"/>
      <c r="K173" s="115"/>
      <c r="L173" s="1">
        <f t="shared" si="28"/>
        <v>0</v>
      </c>
      <c r="M173" s="115"/>
      <c r="N173" s="45"/>
      <c r="O173" s="115"/>
      <c r="P173" s="115"/>
      <c r="Q173" s="115"/>
      <c r="R173" s="115"/>
      <c r="S173" s="59">
        <f t="shared" si="31"/>
        <v>3000</v>
      </c>
      <c r="T173" s="120"/>
      <c r="V173" s="51"/>
    </row>
    <row r="174" spans="1:22" s="49" customFormat="1" ht="61.5" customHeight="1">
      <c r="A174" s="11" t="s">
        <v>495</v>
      </c>
      <c r="B174" s="11"/>
      <c r="C174" s="26"/>
      <c r="D174" s="11"/>
      <c r="E174" s="12" t="s">
        <v>496</v>
      </c>
      <c r="F174" s="68"/>
      <c r="G174" s="1">
        <f t="shared" si="30"/>
        <v>50000</v>
      </c>
      <c r="H174" s="45">
        <v>50000</v>
      </c>
      <c r="I174" s="115"/>
      <c r="J174" s="115"/>
      <c r="K174" s="115"/>
      <c r="L174" s="1">
        <f t="shared" si="28"/>
        <v>0</v>
      </c>
      <c r="M174" s="115"/>
      <c r="N174" s="45"/>
      <c r="O174" s="115"/>
      <c r="P174" s="115"/>
      <c r="Q174" s="115"/>
      <c r="R174" s="115"/>
      <c r="S174" s="59"/>
      <c r="T174" s="120"/>
      <c r="V174" s="51"/>
    </row>
    <row r="175" spans="1:22" s="49" customFormat="1" ht="86.25" customHeight="1">
      <c r="A175" s="11" t="s">
        <v>487</v>
      </c>
      <c r="B175" s="11"/>
      <c r="C175" s="26">
        <v>7618370</v>
      </c>
      <c r="D175" s="11" t="s">
        <v>486</v>
      </c>
      <c r="E175" s="12" t="s">
        <v>488</v>
      </c>
      <c r="F175" s="68"/>
      <c r="G175" s="1">
        <f t="shared" si="30"/>
        <v>150000</v>
      </c>
      <c r="H175" s="45">
        <f>80000+50000+20000</f>
        <v>150000</v>
      </c>
      <c r="I175" s="115"/>
      <c r="J175" s="115"/>
      <c r="K175" s="115"/>
      <c r="L175" s="1">
        <f t="shared" si="28"/>
        <v>0</v>
      </c>
      <c r="M175" s="115"/>
      <c r="N175" s="45"/>
      <c r="O175" s="115"/>
      <c r="P175" s="115"/>
      <c r="Q175" s="115"/>
      <c r="R175" s="115"/>
      <c r="S175" s="59">
        <f t="shared" si="31"/>
        <v>150000</v>
      </c>
      <c r="T175" s="120"/>
      <c r="V175" s="51"/>
    </row>
    <row r="176" spans="1:22" s="49" customFormat="1" ht="43.5" customHeight="1">
      <c r="A176" s="11" t="s">
        <v>354</v>
      </c>
      <c r="B176" s="11" t="s">
        <v>353</v>
      </c>
      <c r="C176" s="26">
        <v>7618010</v>
      </c>
      <c r="D176" s="11" t="s">
        <v>106</v>
      </c>
      <c r="E176" s="12" t="s">
        <v>155</v>
      </c>
      <c r="F176" s="68"/>
      <c r="G176" s="1">
        <f>2201700+6590000-100000-1153530+50000-2286666-2043000-80000-45000-170000+1000000-50000-1959896+38000-759918-150000-994116</f>
        <v>87574</v>
      </c>
      <c r="H176" s="45"/>
      <c r="I176" s="115"/>
      <c r="J176" s="115"/>
      <c r="K176" s="115"/>
      <c r="L176" s="1">
        <f t="shared" si="28"/>
        <v>0</v>
      </c>
      <c r="M176" s="115"/>
      <c r="N176" s="45"/>
      <c r="O176" s="115"/>
      <c r="P176" s="115"/>
      <c r="Q176" s="115"/>
      <c r="R176" s="115"/>
      <c r="S176" s="59">
        <f t="shared" si="31"/>
        <v>87574</v>
      </c>
      <c r="T176" s="120"/>
      <c r="V176" s="51"/>
    </row>
    <row r="177" spans="1:22" s="111" customFormat="1" ht="48" customHeight="1">
      <c r="A177" s="43"/>
      <c r="B177" s="43"/>
      <c r="C177" s="43"/>
      <c r="D177" s="43"/>
      <c r="E177" s="44" t="s">
        <v>355</v>
      </c>
      <c r="F177" s="43" t="s">
        <v>17</v>
      </c>
      <c r="G177" s="105">
        <f t="shared" ref="G177:R177" si="34">G11+G51+G117+G127+G135+G170+G66</f>
        <v>688862047.25999999</v>
      </c>
      <c r="H177" s="105">
        <f t="shared" si="34"/>
        <v>680344371.25999999</v>
      </c>
      <c r="I177" s="105">
        <f t="shared" si="34"/>
        <v>197367989.56</v>
      </c>
      <c r="J177" s="1">
        <f t="shared" si="34"/>
        <v>30146869</v>
      </c>
      <c r="K177" s="1">
        <f t="shared" si="34"/>
        <v>8430102</v>
      </c>
      <c r="L177" s="105">
        <f t="shared" si="34"/>
        <v>47235244.810000002</v>
      </c>
      <c r="M177" s="1">
        <f t="shared" si="34"/>
        <v>8893066</v>
      </c>
      <c r="N177" s="1">
        <f t="shared" si="34"/>
        <v>333480</v>
      </c>
      <c r="O177" s="1">
        <f t="shared" si="34"/>
        <v>203250</v>
      </c>
      <c r="P177" s="105">
        <f t="shared" si="34"/>
        <v>38342178.810000002</v>
      </c>
      <c r="Q177" s="105">
        <f t="shared" si="34"/>
        <v>38232178.810000002</v>
      </c>
      <c r="R177" s="105">
        <f t="shared" si="34"/>
        <v>33079436.649999999</v>
      </c>
      <c r="S177" s="106">
        <f t="shared" si="31"/>
        <v>736097292.06999993</v>
      </c>
      <c r="U177" s="112"/>
      <c r="V177" s="113"/>
    </row>
    <row r="178" spans="1:22" s="84" customFormat="1" ht="23.25" customHeight="1">
      <c r="A178" s="82"/>
      <c r="B178" s="82"/>
      <c r="C178" s="82"/>
      <c r="D178" s="82"/>
      <c r="E178" s="87"/>
      <c r="F178" s="82"/>
      <c r="G178" s="83"/>
      <c r="H178" s="5"/>
      <c r="I178" s="5"/>
      <c r="J178" s="5"/>
      <c r="K178" s="5"/>
      <c r="L178" s="5"/>
      <c r="M178" s="5"/>
      <c r="N178" s="5"/>
      <c r="O178" s="5"/>
      <c r="P178" s="5"/>
      <c r="Q178" s="5"/>
      <c r="R178" s="5"/>
      <c r="S178" s="5"/>
      <c r="U178" s="85"/>
      <c r="V178" s="86"/>
    </row>
    <row r="179" spans="1:22" s="80" customFormat="1" ht="19.5" customHeight="1">
      <c r="A179" s="133" t="s">
        <v>461</v>
      </c>
      <c r="B179" s="133"/>
      <c r="C179" s="133"/>
      <c r="D179" s="133"/>
      <c r="E179" s="133"/>
      <c r="F179" s="133"/>
      <c r="G179" s="133"/>
      <c r="H179" s="133"/>
      <c r="I179" s="133"/>
      <c r="J179" s="133"/>
      <c r="K179" s="133"/>
      <c r="L179" s="133"/>
      <c r="M179" s="133"/>
      <c r="N179" s="133"/>
      <c r="O179" s="133"/>
      <c r="P179" s="133"/>
      <c r="Q179" s="133"/>
      <c r="R179" s="133"/>
      <c r="S179" s="133"/>
      <c r="V179" s="81"/>
    </row>
    <row r="180" spans="1:22" s="88" customFormat="1" ht="21.75" customHeight="1">
      <c r="A180" s="133"/>
      <c r="B180" s="133"/>
      <c r="C180" s="133"/>
      <c r="D180" s="133"/>
      <c r="E180" s="133"/>
      <c r="F180" s="133"/>
      <c r="G180" s="133"/>
      <c r="H180" s="133"/>
      <c r="I180" s="133"/>
      <c r="J180" s="133"/>
      <c r="K180" s="133"/>
      <c r="L180" s="133"/>
      <c r="M180" s="133"/>
      <c r="N180" s="133"/>
      <c r="O180" s="133"/>
      <c r="P180" s="133"/>
      <c r="Q180" s="133"/>
      <c r="R180" s="133"/>
      <c r="S180" s="133"/>
      <c r="V180" s="89"/>
    </row>
    <row r="181" spans="1:22" ht="24.75" customHeight="1">
      <c r="A181" s="90"/>
      <c r="B181" s="91"/>
      <c r="C181" s="90"/>
      <c r="D181" s="90"/>
      <c r="E181" s="92"/>
      <c r="F181" s="93"/>
      <c r="G181" s="6"/>
      <c r="H181" s="6"/>
      <c r="I181" s="6"/>
      <c r="J181" s="6"/>
      <c r="K181" s="6"/>
      <c r="L181" s="6"/>
      <c r="M181" s="6"/>
      <c r="N181" s="6"/>
      <c r="O181" s="6"/>
      <c r="P181" s="6"/>
      <c r="Q181" s="6"/>
      <c r="R181" s="6"/>
      <c r="S181" s="6"/>
    </row>
    <row r="182" spans="1:22" ht="24.75" customHeight="1">
      <c r="A182" s="90"/>
      <c r="B182" s="91"/>
      <c r="C182" s="90"/>
      <c r="D182" s="90"/>
      <c r="E182" s="92"/>
      <c r="F182" s="93"/>
      <c r="G182" s="6"/>
      <c r="H182" s="6"/>
      <c r="I182" s="6"/>
      <c r="J182" s="6"/>
      <c r="K182" s="6"/>
      <c r="L182" s="6"/>
      <c r="M182" s="6"/>
      <c r="N182" s="6"/>
      <c r="O182" s="6"/>
      <c r="P182" s="6"/>
      <c r="Q182" s="6"/>
      <c r="R182" s="6"/>
      <c r="S182" s="6"/>
    </row>
    <row r="183" spans="1:22" ht="24.75" customHeight="1">
      <c r="A183" s="90"/>
      <c r="B183" s="91"/>
      <c r="C183" s="90"/>
      <c r="D183" s="90"/>
      <c r="E183" s="92"/>
      <c r="F183" s="93"/>
      <c r="G183" s="6"/>
      <c r="H183" s="6"/>
      <c r="I183" s="6"/>
      <c r="J183" s="6"/>
      <c r="K183" s="6"/>
      <c r="L183" s="6"/>
      <c r="M183" s="6"/>
      <c r="N183" s="6"/>
      <c r="O183" s="6"/>
      <c r="P183" s="6"/>
      <c r="Q183" s="6"/>
      <c r="R183" s="6"/>
      <c r="S183" s="6"/>
    </row>
  </sheetData>
  <mergeCells count="31">
    <mergeCell ref="P1:S1"/>
    <mergeCell ref="E2:N2"/>
    <mergeCell ref="O2:S2"/>
    <mergeCell ref="F3:O3"/>
    <mergeCell ref="P3:S3"/>
    <mergeCell ref="F4:O4"/>
    <mergeCell ref="P4:S4"/>
    <mergeCell ref="Q8:Q9"/>
    <mergeCell ref="R8:R9"/>
    <mergeCell ref="S6:S9"/>
    <mergeCell ref="E6:E9"/>
    <mergeCell ref="M7:M9"/>
    <mergeCell ref="N7:O7"/>
    <mergeCell ref="P7:P9"/>
    <mergeCell ref="G6:J6"/>
    <mergeCell ref="A179:S180"/>
    <mergeCell ref="Q7:R7"/>
    <mergeCell ref="I8:I9"/>
    <mergeCell ref="J8:J9"/>
    <mergeCell ref="N8:N9"/>
    <mergeCell ref="O8:O9"/>
    <mergeCell ref="A6:A9"/>
    <mergeCell ref="C6:C9"/>
    <mergeCell ref="F6:F9"/>
    <mergeCell ref="L6:R6"/>
    <mergeCell ref="H7:H9"/>
    <mergeCell ref="I7:J7"/>
    <mergeCell ref="K7:K9"/>
    <mergeCell ref="L7:L9"/>
    <mergeCell ref="G7:G9"/>
    <mergeCell ref="D6:D9"/>
  </mergeCells>
  <phoneticPr fontId="23" type="noConversion"/>
  <printOptions horizontalCentered="1"/>
  <pageMargins left="0.15748031496062992" right="0" top="0.35433070866141736" bottom="3.937007874015748E-2" header="0.27559055118110237" footer="0"/>
  <pageSetup paperSize="9" scale="28" fitToHeight="4" orientation="landscape" r:id="rId1"/>
  <headerFooter alignWithMargins="0"/>
  <rowBreaks count="6" manualBreakCount="6">
    <brk id="35" max="18" man="1"/>
    <brk id="57" max="18" man="1"/>
    <brk id="75" max="18" man="1"/>
    <brk id="97" max="18" man="1"/>
    <brk id="118" max="18" man="1"/>
    <brk id="137"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admin1</cp:lastModifiedBy>
  <cp:lastPrinted>2018-08-06T12:18:52Z</cp:lastPrinted>
  <dcterms:created xsi:type="dcterms:W3CDTF">2002-10-09T16:25:59Z</dcterms:created>
  <dcterms:modified xsi:type="dcterms:W3CDTF">2018-08-06T12:19:04Z</dcterms:modified>
</cp:coreProperties>
</file>